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firstSheet="1" activeTab="5"/>
  </bookViews>
  <sheets>
    <sheet name="Disch. Test" sheetId="1" r:id="rId1"/>
    <sheet name="Hyd Analysis" sheetId="2" r:id="rId2"/>
    <sheet name="Batt Usage" sheetId="3" r:id="rId3"/>
    <sheet name="SPW Payback" sheetId="4" r:id="rId4"/>
    <sheet name="KW Batt Comp" sheetId="5" r:id="rId5"/>
    <sheet name="Waterless Payback" sheetId="6" r:id="rId6"/>
    <sheet name="Energy Plus Comparison" sheetId="7" r:id="rId7"/>
    <sheet name="Recharge Cost" sheetId="8" r:id="rId8"/>
  </sheets>
  <definedNames/>
  <calcPr fullCalcOnLoad="1"/>
</workbook>
</file>

<file path=xl/sharedStrings.xml><?xml version="1.0" encoding="utf-8"?>
<sst xmlns="http://schemas.openxmlformats.org/spreadsheetml/2006/main" count="295" uniqueCount="205">
  <si>
    <t xml:space="preserve">                    PREPARED FOR ABC COMPANY</t>
  </si>
  <si>
    <t>ENERGY PLUS</t>
  </si>
  <si>
    <t>POWERLINE</t>
  </si>
  <si>
    <t>TOP POWER</t>
  </si>
  <si>
    <t>MODEL</t>
  </si>
  <si>
    <t>6-E515</t>
  </si>
  <si>
    <t>6-85-11</t>
  </si>
  <si>
    <t>COST</t>
  </si>
  <si>
    <t>A.H. Cap.</t>
  </si>
  <si>
    <t>K.W.H. Cap</t>
  </si>
  <si>
    <t>LIFE(mos.)</t>
  </si>
  <si>
    <t>$/A.H.</t>
  </si>
  <si>
    <t>$/K.W.H.</t>
  </si>
  <si>
    <t>$/KWH/Mo.</t>
  </si>
  <si>
    <t>$/KWH/Year</t>
  </si>
  <si>
    <t>A.H. % Gained</t>
  </si>
  <si>
    <t>K.W.H. % Gained</t>
  </si>
  <si>
    <t>THE POWERLINE BATTERY CARRIES A FIVE YEAR FULL WARRANTY</t>
  </si>
  <si>
    <t>THE TOP POWER BATTERY CARRIES A FIVE YEAR WARRANTY - THREE FULL AND TWO PRO-RATE</t>
  </si>
  <si>
    <t>THE ENERGY PLUS BATTERY CARRIES A FIVE YEAR FULL WARRANTY</t>
  </si>
  <si>
    <t xml:space="preserve">    SINGLE POINT WATERING PAYBACK ANANLYSIS</t>
  </si>
  <si>
    <t>ASSUMPTIONS:</t>
  </si>
  <si>
    <t>Number of batteries -</t>
  </si>
  <si>
    <t>Labor Cost per hour -</t>
  </si>
  <si>
    <t>Cost of Water System -</t>
  </si>
  <si>
    <t>Manual watering time in minutes -</t>
  </si>
  <si>
    <t>SPW watering time in minutes -</t>
  </si>
  <si>
    <t>1)  ANNUAL BATTERY WATERING COST:</t>
  </si>
  <si>
    <t>MANUAL</t>
  </si>
  <si>
    <t>A) Weekly watering in minutes -</t>
  </si>
  <si>
    <t>B) Total annual time in minutes -</t>
  </si>
  <si>
    <t>C) Total Annual Time in hours -</t>
  </si>
  <si>
    <t>D) Annual Labor Cost -</t>
  </si>
  <si>
    <t>E) First Year Cost -</t>
  </si>
  <si>
    <t>2)  PAYBACK TIME PERIOD:</t>
  </si>
  <si>
    <t>A) In months -</t>
  </si>
  <si>
    <t>B)  In years -</t>
  </si>
  <si>
    <t>3)  SAVINGS OVER 5 YEAR BATTERY LIFE:</t>
  </si>
  <si>
    <t>1st year -</t>
  </si>
  <si>
    <t>2nd year -</t>
  </si>
  <si>
    <t>3rd year -</t>
  </si>
  <si>
    <t>4th year -</t>
  </si>
  <si>
    <t>5th year -</t>
  </si>
  <si>
    <t>TOTAL -</t>
  </si>
  <si>
    <t>Cost savings does not include other factors such as:</t>
  </si>
  <si>
    <t>1)  Ease of watering</t>
  </si>
  <si>
    <t>4)  Increased battery life</t>
  </si>
  <si>
    <t>2)  Safety</t>
  </si>
  <si>
    <t>5)  Increased battery productivity</t>
  </si>
  <si>
    <t>3)  Accurate filling</t>
  </si>
  <si>
    <t>6)  Lower maintenance costs</t>
  </si>
  <si>
    <t>Battery #</t>
  </si>
  <si>
    <t>Model</t>
  </si>
  <si>
    <t>A.H. Capacity</t>
  </si>
  <si>
    <t>A.H. Available (80%)</t>
  </si>
  <si>
    <t>Where used</t>
  </si>
  <si>
    <t>Time Start</t>
  </si>
  <si>
    <t>Time Finish</t>
  </si>
  <si>
    <t>Total Time</t>
  </si>
  <si>
    <t>Trk hr. start</t>
  </si>
  <si>
    <t>Trk hr. finish</t>
  </si>
  <si>
    <t>Total trk. time</t>
  </si>
  <si>
    <t>Sg. Start</t>
  </si>
  <si>
    <t>Sg. Finish</t>
  </si>
  <si>
    <t>Sg. used</t>
  </si>
  <si>
    <t>Voltage start</t>
  </si>
  <si>
    <t>Voltage Finish</t>
  </si>
  <si>
    <t>A.H. used</t>
  </si>
  <si>
    <t>A.H. used / hr</t>
  </si>
  <si>
    <t>A.H. used / trk hr</t>
  </si>
  <si>
    <t>A.H. needed / shift</t>
  </si>
  <si>
    <t># shifts / battery</t>
  </si>
  <si>
    <t xml:space="preserve">      HYDROGEN ANALYSIS</t>
  </si>
  <si>
    <t>Assumptions:</t>
  </si>
  <si>
    <t>1)  Assume all batteries on charge at the same time</t>
  </si>
  <si>
    <t>2)  Hydrogen Lower Explosive Limit (LEL) is 4%</t>
  </si>
  <si>
    <t>3)  Use 1% maximum for hydrogen (H2) concentration</t>
  </si>
  <si>
    <t>4)  Assume 20% overcharge</t>
  </si>
  <si>
    <t>5)  Assume all batteries are 100% discharged</t>
  </si>
  <si>
    <t>6)  Assume all overcharge goes to produce gas -  none produces heat</t>
  </si>
  <si>
    <t>7)  Assume all gas is released uniformly during the last 3 hours of charge</t>
  </si>
  <si>
    <t>8)  Hydrogen is 14 times lighter than air - rises quickly and disperses easily</t>
  </si>
  <si>
    <t>The formula used for this calculation is as follows:</t>
  </si>
  <si>
    <t>V = (A) X (B) X (C) X (D) = FT3 (cubic feet) of H2 per charge per battery</t>
  </si>
  <si>
    <t>A = A.H. capacity of battery</t>
  </si>
  <si>
    <t>B = % overcharge divided by 100</t>
  </si>
  <si>
    <t>C = .0147708 (FT3 of H2 produced per A.H.)</t>
  </si>
  <si>
    <t>D =  Number of cells in battery</t>
  </si>
  <si>
    <t>Battery Type # 1</t>
  </si>
  <si>
    <t>Model -</t>
  </si>
  <si>
    <t>Total FT3 of H2/Charge/Battery -</t>
  </si>
  <si>
    <t>A.H. Capacity -</t>
  </si>
  <si>
    <t>Total FT3 of H2 for Battery Type # 1 -</t>
  </si>
  <si>
    <t xml:space="preserve">Quantity - </t>
  </si>
  <si>
    <t># of Cells -</t>
  </si>
  <si>
    <t>Battery Type # 2</t>
  </si>
  <si>
    <t xml:space="preserve">Model - </t>
  </si>
  <si>
    <t>Total FT3 of H2 for Battery Type # 2 -</t>
  </si>
  <si>
    <t>Battery Type #  3</t>
  </si>
  <si>
    <t>Total FT3 of H2 for Battery Type # 3 -</t>
  </si>
  <si>
    <t>Quantity -</t>
  </si>
  <si>
    <t>Battery Type # 4</t>
  </si>
  <si>
    <t>Total FT3 of H2 for Battery Type # 4 -</t>
  </si>
  <si>
    <t>TOTAL FT3 OF H2 PER CHARGE FOR ALL BATTERIES -</t>
  </si>
  <si>
    <t>TOTAL  FT3 OF H2 PER HOUR FOR LAST 3 HOURS OF CHARGE -</t>
  </si>
  <si>
    <t>TOTAL FT3 OF H2 PER MINUTE (CFM) FOR LAST 3 HOURS OF CHARGE -</t>
  </si>
  <si>
    <t>CFM AIR FLOW REQUIRED TO KEEP H2% FROM EXCEEDING 1% -</t>
  </si>
  <si>
    <t xml:space="preserve">            BATTERY DISCHARGE TEST RESULTS</t>
  </si>
  <si>
    <t>Customer -</t>
  </si>
  <si>
    <t>Date -</t>
  </si>
  <si>
    <t xml:space="preserve">Battery Type - </t>
  </si>
  <si>
    <t xml:space="preserve">Battery # - </t>
  </si>
  <si>
    <t xml:space="preserve">Serial Number - </t>
  </si>
  <si>
    <t xml:space="preserve">Time Started - </t>
  </si>
  <si>
    <t xml:space="preserve">A.H. Capacity - </t>
  </si>
  <si>
    <t xml:space="preserve">Temperature - </t>
  </si>
  <si>
    <t xml:space="preserve">Manufacturer - </t>
  </si>
  <si>
    <t>Test Rate -</t>
  </si>
  <si>
    <t>New -</t>
  </si>
  <si>
    <t xml:space="preserve">No. of Cells - </t>
  </si>
  <si>
    <t>Start Load</t>
  </si>
  <si>
    <t>Cell No.</t>
  </si>
  <si>
    <t>Gravity</t>
  </si>
  <si>
    <t>Hr.1</t>
  </si>
  <si>
    <t>Hr. 2</t>
  </si>
  <si>
    <t>Hr. 3</t>
  </si>
  <si>
    <t>Hr. 4</t>
  </si>
  <si>
    <t>Hr. 5</t>
  </si>
  <si>
    <t>Time Finished -</t>
  </si>
  <si>
    <t>Time to reach 1.70 volts/cell -</t>
  </si>
  <si>
    <t>Hrs</t>
  </si>
  <si>
    <t>Unrepaired Capacity (in AH's) -</t>
  </si>
  <si>
    <t>Unrepaired Capacity (%) -</t>
  </si>
  <si>
    <t>Estimated Repair Capacity -</t>
  </si>
  <si>
    <t>Repair Cost -</t>
  </si>
  <si>
    <t>Replacement Cost -</t>
  </si>
  <si>
    <t>Repair % of New -</t>
  </si>
  <si>
    <t xml:space="preserve">   COST JUSTIFICATION AND PAYBACK ANAYLSIS</t>
  </si>
  <si>
    <t>Battery Type -</t>
  </si>
  <si>
    <t>Cost of Std. Battery -</t>
  </si>
  <si>
    <t>Cost of "Water Less" -</t>
  </si>
  <si>
    <t>Cost Difference -</t>
  </si>
  <si>
    <t>"Water Less" Battery needs to be watered four times per year</t>
  </si>
  <si>
    <t>WATER LESS</t>
  </si>
  <si>
    <t xml:space="preserve">                          PREPARED FOR ABC COMPANY</t>
  </si>
  <si>
    <t>COMPETITOR</t>
  </si>
  <si>
    <t>6-93-11</t>
  </si>
  <si>
    <t>Weight</t>
  </si>
  <si>
    <t>Std. Battery Wt.</t>
  </si>
  <si>
    <t>Wt. Diff in Lbs.</t>
  </si>
  <si>
    <t>Wt. Diff in %</t>
  </si>
  <si>
    <t>Wt. Diff in lbs over std.</t>
  </si>
  <si>
    <t>Wt. Diff % over std.</t>
  </si>
  <si>
    <t>Price Diff. in $</t>
  </si>
  <si>
    <t>MORE FOR THE ENERGY PLUS</t>
  </si>
  <si>
    <t>Price Diff. %</t>
  </si>
  <si>
    <t>HIGHER THAN THE COMPETITOR</t>
  </si>
  <si>
    <t>WITH THE ENERGY PLUS</t>
  </si>
  <si>
    <t># batts / 2 shifts</t>
  </si>
  <si>
    <t>Test Date - 2/13/97</t>
  </si>
  <si>
    <t>24-85-21</t>
  </si>
  <si>
    <t>REC.</t>
  </si>
  <si>
    <t>SHIP</t>
  </si>
  <si>
    <t>BATTERY USAGE ANALYSIS</t>
  </si>
  <si>
    <t>PREPARED FOR BAXTER HEALTHCARE</t>
  </si>
  <si>
    <t xml:space="preserve"> </t>
  </si>
  <si>
    <t>Open Circuit</t>
  </si>
  <si>
    <t>Voltage-Strt</t>
  </si>
  <si>
    <t>Voltage</t>
  </si>
  <si>
    <t>18-125-13</t>
  </si>
  <si>
    <t xml:space="preserve">       PREPARED FOR KELLWOOD - GREENFIELD</t>
  </si>
  <si>
    <t>Superior</t>
  </si>
  <si>
    <t>R60801-1-6</t>
  </si>
  <si>
    <t>GBC</t>
  </si>
  <si>
    <t>4A</t>
  </si>
  <si>
    <t xml:space="preserve">                    PREPARED FOR HAYWOOD COMPANY</t>
  </si>
  <si>
    <t>A)  Size of battery ( # of cells and A.H. capacity)</t>
  </si>
  <si>
    <t>B)  Depth of discharge</t>
  </si>
  <si>
    <t>C)  Age of battery</t>
  </si>
  <si>
    <t>D)  Cost of KWH from utility company</t>
  </si>
  <si>
    <t>Recharge cycle energy cost</t>
  </si>
  <si>
    <t>Prepared for ABC Company</t>
  </si>
  <si>
    <t xml:space="preserve">Cost per recharge cycle - </t>
  </si>
  <si>
    <t>K.W.H. capacity of cell -</t>
  </si>
  <si>
    <t>Number of cells -</t>
  </si>
  <si>
    <t>Percent discharged -</t>
  </si>
  <si>
    <t>Cost per K.W.H. -</t>
  </si>
  <si>
    <t>Charger efficiency -</t>
  </si>
  <si>
    <t>Battery efficiency -</t>
  </si>
  <si>
    <t>(Typically 80-85%)</t>
  </si>
  <si>
    <t>(6 cell - 70%, 12-18 cell - 84%, 24 cell - 87% approx.)</t>
  </si>
  <si>
    <t>Cost for fleet per day -</t>
  </si>
  <si>
    <t>Cost for fleet per year -</t>
  </si>
  <si>
    <t>is influenced by many factors:</t>
  </si>
  <si>
    <t>The cost of electrical energy required to recharge a battery</t>
  </si>
  <si>
    <t>HAWKER POWERSOURCE, INC.</t>
  </si>
  <si>
    <t xml:space="preserve">       HAWKER POWERSOURCE BATTERY COMPARISON</t>
  </si>
  <si>
    <t xml:space="preserve">    HAWKER POWERSOURCE "WATER LESS" BATTERY</t>
  </si>
  <si>
    <t xml:space="preserve">            HAWKER POWERSOURCE BATTERY COMPARISON</t>
  </si>
  <si>
    <t xml:space="preserve">                            PREPARED FOR ABC CUSTOMER</t>
  </si>
  <si>
    <t>18-125F-17</t>
  </si>
  <si>
    <t>18-85F-19</t>
  </si>
  <si>
    <t>12-85F-13</t>
  </si>
  <si>
    <t>AQUAMATIC HP</t>
  </si>
  <si>
    <t>6th year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</si>
</sst>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\)"/>
    <numFmt numFmtId="176" formatCode="&quot;$&quot;#,##0.000_);\(&quot;$&quot;#,##0.00\)"/>
    <numFmt numFmtId="177" formatCode="&quot;$&quot;#,##0.0000_);\(&quot;$&quot;#,##0.00\)"/>
    <numFmt numFmtId="178" formatCode="&quot;$&quot;#,##0.00000_);\(&quot;$&quot;#,##0.00\)"/>
    <numFmt numFmtId="179" formatCode="&quot;$&quot;#,##0.000000_);\(&quot;$&quot;#,##0.00\)"/>
    <numFmt numFmtId="180" formatCode="&quot;$&quot;#,##0.0000000_);\(&quot;$&quot;#,##0.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&quot;$&quot;#,##0.00"/>
    <numFmt numFmtId="220" formatCode="0.00000000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6"/>
      <name val="Arial"/>
      <family val="0"/>
    </font>
    <font>
      <u val="single"/>
      <sz val="10"/>
      <name val="Arial"/>
      <family val="0"/>
    </font>
    <font>
      <b/>
      <sz val="14"/>
      <name val="Arial"/>
      <family val="0"/>
    </font>
    <font>
      <b/>
      <sz val="20"/>
      <name val="SlimStravinskySH"/>
      <family val="0"/>
    </font>
    <font>
      <b/>
      <sz val="18"/>
      <name val="Arial"/>
      <family val="0"/>
    </font>
    <font>
      <b/>
      <sz val="20"/>
      <name val="Arial"/>
      <family val="0"/>
    </font>
    <font>
      <b/>
      <i/>
      <sz val="14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u val="single"/>
      <sz val="10"/>
      <name val="Arial"/>
      <family val="0"/>
    </font>
    <font>
      <b/>
      <u val="single"/>
      <sz val="8"/>
      <name val="Arial"/>
      <family val="0"/>
    </font>
    <font>
      <b/>
      <sz val="11"/>
      <name val="Arial"/>
      <family val="2"/>
    </font>
    <font>
      <b/>
      <i/>
      <sz val="18"/>
      <name val="MS Sans Serif"/>
      <family val="2"/>
    </font>
    <font>
      <b/>
      <i/>
      <sz val="24"/>
      <name val="MS Sans Serif"/>
      <family val="2"/>
    </font>
    <font>
      <b/>
      <sz val="18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1"/>
      <name val="MS Sans Serif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7" fontId="4" fillId="0" borderId="1" xfId="0" applyAlignment="1">
      <alignment horizontal="center"/>
    </xf>
    <xf numFmtId="10" fontId="4" fillId="0" borderId="1" xfId="0" applyAlignment="1">
      <alignment horizontal="center"/>
    </xf>
    <xf numFmtId="0" fontId="4" fillId="0" borderId="0" xfId="0" applyAlignment="1">
      <alignment/>
    </xf>
    <xf numFmtId="0" fontId="6" fillId="0" borderId="0" xfId="0" applyAlignment="1">
      <alignment/>
    </xf>
    <xf numFmtId="0" fontId="7" fillId="0" borderId="0" xfId="0" applyAlignment="1">
      <alignment/>
    </xf>
    <xf numFmtId="0" fontId="8" fillId="0" borderId="0" xfId="0" applyAlignment="1">
      <alignment/>
    </xf>
    <xf numFmtId="0" fontId="4" fillId="0" borderId="1" xfId="0" applyAlignment="1">
      <alignment horizontal="center"/>
    </xf>
    <xf numFmtId="7" fontId="4" fillId="0" borderId="1" xfId="0" applyAlignment="1">
      <alignment/>
    </xf>
    <xf numFmtId="0" fontId="4" fillId="0" borderId="1" xfId="0" applyAlignment="1">
      <alignment/>
    </xf>
    <xf numFmtId="0" fontId="5" fillId="0" borderId="1" xfId="0" applyAlignment="1">
      <alignment/>
    </xf>
    <xf numFmtId="0" fontId="9" fillId="0" borderId="0" xfId="0" applyAlignment="1">
      <alignment/>
    </xf>
    <xf numFmtId="0" fontId="5" fillId="0" borderId="0" xfId="0" applyAlignment="1">
      <alignment/>
    </xf>
    <xf numFmtId="7" fontId="4" fillId="0" borderId="0" xfId="0" applyAlignment="1">
      <alignment/>
    </xf>
    <xf numFmtId="0" fontId="4" fillId="0" borderId="0" xfId="0" applyAlignment="1">
      <alignment horizontal="left"/>
    </xf>
    <xf numFmtId="2" fontId="4" fillId="0" borderId="0" xfId="0" applyAlignment="1">
      <alignment/>
    </xf>
    <xf numFmtId="7" fontId="6" fillId="0" borderId="0" xfId="0" applyAlignment="1">
      <alignment/>
    </xf>
    <xf numFmtId="0" fontId="12" fillId="0" borderId="0" xfId="0" applyAlignment="1">
      <alignment/>
    </xf>
    <xf numFmtId="0" fontId="4" fillId="0" borderId="0" xfId="0" applyAlignment="1">
      <alignment horizontal="center"/>
    </xf>
    <xf numFmtId="170" fontId="4" fillId="0" borderId="0" xfId="0" applyAlignment="1">
      <alignment horizontal="center"/>
    </xf>
    <xf numFmtId="169" fontId="4" fillId="0" borderId="0" xfId="0" applyAlignment="1">
      <alignment horizontal="center"/>
    </xf>
    <xf numFmtId="1" fontId="4" fillId="0" borderId="0" xfId="0" applyAlignment="1">
      <alignment horizontal="center"/>
    </xf>
    <xf numFmtId="2" fontId="4" fillId="0" borderId="0" xfId="0" applyAlignment="1">
      <alignment horizontal="center"/>
    </xf>
    <xf numFmtId="0" fontId="15" fillId="0" borderId="0" xfId="0" applyAlignment="1">
      <alignment/>
    </xf>
    <xf numFmtId="1" fontId="6" fillId="0" borderId="0" xfId="0" applyAlignment="1">
      <alignment horizontal="left"/>
    </xf>
    <xf numFmtId="0" fontId="16" fillId="0" borderId="0" xfId="0" applyAlignment="1">
      <alignment/>
    </xf>
    <xf numFmtId="0" fontId="8" fillId="0" borderId="0" xfId="0" applyAlignment="1">
      <alignment horizontal="center"/>
    </xf>
    <xf numFmtId="0" fontId="5" fillId="0" borderId="0" xfId="0" applyAlignment="1">
      <alignment horizontal="center"/>
    </xf>
    <xf numFmtId="0" fontId="6" fillId="0" borderId="0" xfId="0" applyAlignment="1">
      <alignment horizontal="left"/>
    </xf>
    <xf numFmtId="14" fontId="4" fillId="0" borderId="0" xfId="0" applyAlignment="1">
      <alignment horizontal="left"/>
    </xf>
    <xf numFmtId="0" fontId="17" fillId="0" borderId="0" xfId="0" applyAlignment="1">
      <alignment horizontal="center"/>
    </xf>
    <xf numFmtId="0" fontId="17" fillId="0" borderId="0" xfId="0" applyAlignment="1">
      <alignment/>
    </xf>
    <xf numFmtId="0" fontId="18" fillId="0" borderId="0" xfId="0" applyAlignment="1">
      <alignment horizontal="center"/>
    </xf>
    <xf numFmtId="0" fontId="19" fillId="0" borderId="0" xfId="0" applyAlignment="1">
      <alignment horizontal="center"/>
    </xf>
    <xf numFmtId="0" fontId="18" fillId="0" borderId="0" xfId="0" applyAlignment="1">
      <alignment/>
    </xf>
    <xf numFmtId="2" fontId="5" fillId="0" borderId="0" xfId="0" applyAlignment="1">
      <alignment/>
    </xf>
    <xf numFmtId="1" fontId="4" fillId="0" borderId="0" xfId="0" applyAlignment="1">
      <alignment/>
    </xf>
    <xf numFmtId="9" fontId="4" fillId="0" borderId="0" xfId="0" applyAlignment="1">
      <alignment/>
    </xf>
    <xf numFmtId="10" fontId="4" fillId="0" borderId="0" xfId="0" applyAlignment="1">
      <alignment/>
    </xf>
    <xf numFmtId="0" fontId="9" fillId="0" borderId="0" xfId="0" applyAlignment="1">
      <alignment horizontal="center"/>
    </xf>
    <xf numFmtId="7" fontId="4" fillId="0" borderId="0" xfId="0" applyAlignment="1">
      <alignment horizontal="center"/>
    </xf>
    <xf numFmtId="2" fontId="4" fillId="0" borderId="0" xfId="0" applyAlignment="1">
      <alignment horizontal="left"/>
    </xf>
    <xf numFmtId="0" fontId="4" fillId="0" borderId="2" xfId="0" applyAlignment="1">
      <alignment/>
    </xf>
    <xf numFmtId="0" fontId="4" fillId="0" borderId="3" xfId="0" applyAlignment="1">
      <alignment/>
    </xf>
    <xf numFmtId="0" fontId="4" fillId="0" borderId="4" xfId="0" applyAlignment="1">
      <alignment/>
    </xf>
    <xf numFmtId="0" fontId="4" fillId="0" borderId="5" xfId="0" applyAlignment="1">
      <alignment/>
    </xf>
    <xf numFmtId="0" fontId="4" fillId="0" borderId="6" xfId="0" applyAlignment="1">
      <alignment/>
    </xf>
    <xf numFmtId="0" fontId="7" fillId="0" borderId="6" xfId="0" applyAlignment="1">
      <alignment/>
    </xf>
    <xf numFmtId="0" fontId="4" fillId="0" borderId="6" xfId="0" applyAlignment="1">
      <alignment horizontal="center"/>
    </xf>
    <xf numFmtId="7" fontId="4" fillId="0" borderId="6" xfId="0" applyAlignment="1">
      <alignment/>
    </xf>
    <xf numFmtId="10" fontId="4" fillId="0" borderId="0" xfId="0" applyAlignment="1">
      <alignment horizontal="center"/>
    </xf>
    <xf numFmtId="10" fontId="5" fillId="0" borderId="0" xfId="0" applyAlignment="1">
      <alignment horizontal="center"/>
    </xf>
    <xf numFmtId="0" fontId="4" fillId="0" borderId="7" xfId="0" applyAlignment="1">
      <alignment/>
    </xf>
    <xf numFmtId="0" fontId="4" fillId="0" borderId="8" xfId="0" applyAlignment="1">
      <alignment/>
    </xf>
    <xf numFmtId="0" fontId="4" fillId="0" borderId="9" xfId="0" applyAlignment="1">
      <alignment/>
    </xf>
    <xf numFmtId="7" fontId="6" fillId="0" borderId="0" xfId="0" applyAlignment="1">
      <alignment horizontal="center"/>
    </xf>
    <xf numFmtId="10" fontId="6" fillId="0" borderId="0" xfId="0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18" fontId="4" fillId="0" borderId="0" xfId="0" applyNumberFormat="1" applyAlignment="1">
      <alignment horizontal="center"/>
    </xf>
    <xf numFmtId="2" fontId="4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Alignment="1">
      <alignment horizontal="center"/>
    </xf>
    <xf numFmtId="0" fontId="5" fillId="0" borderId="0" xfId="0" applyFont="1" applyAlignment="1">
      <alignment/>
    </xf>
    <xf numFmtId="17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2" fontId="4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0" fillId="0" borderId="0" xfId="0" applyNumberFormat="1" applyFont="1" applyAlignment="1">
      <alignment/>
    </xf>
    <xf numFmtId="18" fontId="4" fillId="0" borderId="0" xfId="0" applyNumberForma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18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7" fontId="4" fillId="0" borderId="0" xfId="0" applyFont="1" applyAlignment="1">
      <alignment/>
    </xf>
    <xf numFmtId="0" fontId="4" fillId="0" borderId="0" xfId="0" applyFont="1" applyAlignment="1">
      <alignment horizontal="right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19" fontId="25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Alignment="1">
      <alignment horizontal="center"/>
    </xf>
    <xf numFmtId="2" fontId="4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workbookViewId="0" topLeftCell="A28">
      <selection activeCell="D41" sqref="D41"/>
    </sheetView>
  </sheetViews>
  <sheetFormatPr defaultColWidth="9.140625" defaultRowHeight="12.75"/>
  <cols>
    <col min="1" max="2" width="10.00390625" style="3" customWidth="1"/>
    <col min="3" max="3" width="12.00390625" style="3" customWidth="1"/>
    <col min="4" max="4" width="10.00390625" style="3" customWidth="1"/>
    <col min="5" max="9" width="5.00390625" style="3" customWidth="1"/>
    <col min="10" max="10" width="17.00390625" style="3" customWidth="1"/>
    <col min="11" max="16384" width="10.00390625" style="3" customWidth="1"/>
  </cols>
  <sheetData>
    <row r="1" spans="2:7" ht="18.75" customHeight="1">
      <c r="B1" s="91" t="s">
        <v>195</v>
      </c>
      <c r="D1" s="26"/>
      <c r="E1" s="27"/>
      <c r="F1" s="27"/>
      <c r="G1" s="27"/>
    </row>
    <row r="2" spans="3:7" ht="12.75">
      <c r="C2" s="27"/>
      <c r="D2" s="27"/>
      <c r="E2" s="27"/>
      <c r="F2" s="27"/>
      <c r="G2" s="27"/>
    </row>
    <row r="4" spans="2:7" ht="15" customHeight="1">
      <c r="B4" s="28" t="s">
        <v>107</v>
      </c>
      <c r="D4" s="27"/>
      <c r="E4" s="27"/>
      <c r="F4" s="27"/>
      <c r="G4" s="27"/>
    </row>
    <row r="8" spans="1:10" ht="12.75">
      <c r="A8" s="12" t="s">
        <v>108</v>
      </c>
      <c r="B8" s="12"/>
      <c r="C8" s="65" t="s">
        <v>171</v>
      </c>
      <c r="G8" s="12" t="s">
        <v>109</v>
      </c>
      <c r="H8" s="12"/>
      <c r="J8" s="29">
        <v>36000</v>
      </c>
    </row>
    <row r="9" spans="1:10" ht="12.75">
      <c r="A9" s="12" t="s">
        <v>110</v>
      </c>
      <c r="B9" s="12"/>
      <c r="C9" s="65" t="s">
        <v>169</v>
      </c>
      <c r="G9" s="12" t="s">
        <v>111</v>
      </c>
      <c r="H9" s="12"/>
      <c r="J9" s="65" t="s">
        <v>174</v>
      </c>
    </row>
    <row r="10" spans="1:10" ht="12.75">
      <c r="A10" s="12" t="s">
        <v>112</v>
      </c>
      <c r="B10" s="12"/>
      <c r="C10" s="65" t="s">
        <v>172</v>
      </c>
      <c r="G10" s="12" t="s">
        <v>113</v>
      </c>
      <c r="H10" s="12"/>
      <c r="J10" s="76">
        <v>0.4861111111111111</v>
      </c>
    </row>
    <row r="11" spans="1:10" ht="12.75">
      <c r="A11" s="12" t="s">
        <v>114</v>
      </c>
      <c r="B11" s="12"/>
      <c r="C11" s="14">
        <v>750</v>
      </c>
      <c r="G11" s="12" t="s">
        <v>115</v>
      </c>
      <c r="H11" s="12"/>
      <c r="J11" s="14">
        <v>86</v>
      </c>
    </row>
    <row r="12" spans="1:10" ht="12.75">
      <c r="A12" s="12" t="s">
        <v>116</v>
      </c>
      <c r="B12" s="12"/>
      <c r="C12" s="65" t="s">
        <v>173</v>
      </c>
      <c r="G12" s="12" t="s">
        <v>117</v>
      </c>
      <c r="H12" s="12"/>
      <c r="J12" s="14">
        <v>125</v>
      </c>
    </row>
    <row r="13" spans="1:10" ht="12.75">
      <c r="A13" s="12" t="s">
        <v>118</v>
      </c>
      <c r="C13" s="14">
        <v>1994</v>
      </c>
      <c r="G13" s="12" t="s">
        <v>119</v>
      </c>
      <c r="J13" s="14">
        <v>18</v>
      </c>
    </row>
    <row r="16" spans="1:11" ht="12.75">
      <c r="A16" s="27"/>
      <c r="B16" s="27"/>
      <c r="C16" s="67" t="s">
        <v>166</v>
      </c>
      <c r="D16" s="30" t="s">
        <v>120</v>
      </c>
      <c r="E16" s="27"/>
      <c r="F16" s="27"/>
      <c r="G16" s="27"/>
      <c r="H16" s="27"/>
      <c r="I16" s="27"/>
      <c r="J16" s="30"/>
      <c r="K16" s="31"/>
    </row>
    <row r="17" spans="1:11" ht="12.75">
      <c r="A17" s="32" t="s">
        <v>121</v>
      </c>
      <c r="B17" s="32" t="s">
        <v>122</v>
      </c>
      <c r="C17" s="68" t="s">
        <v>167</v>
      </c>
      <c r="D17" s="68" t="s">
        <v>168</v>
      </c>
      <c r="E17" s="32" t="s">
        <v>123</v>
      </c>
      <c r="F17" s="32" t="s">
        <v>124</v>
      </c>
      <c r="G17" s="32" t="s">
        <v>125</v>
      </c>
      <c r="H17" s="32" t="s">
        <v>126</v>
      </c>
      <c r="I17" s="32" t="s">
        <v>127</v>
      </c>
      <c r="J17" s="33"/>
      <c r="K17" s="34"/>
    </row>
    <row r="19" spans="1:10" ht="12.75">
      <c r="A19" s="27">
        <v>1</v>
      </c>
      <c r="B19" s="19">
        <v>1.275</v>
      </c>
      <c r="C19" s="22">
        <v>2.08</v>
      </c>
      <c r="D19" s="3">
        <v>2.01</v>
      </c>
      <c r="E19" s="70">
        <v>1.92</v>
      </c>
      <c r="F19" s="69">
        <v>1.84</v>
      </c>
      <c r="G19" s="66">
        <v>1.76</v>
      </c>
      <c r="H19" s="78">
        <v>1.66</v>
      </c>
      <c r="I19" s="15"/>
      <c r="J19" s="22"/>
    </row>
    <row r="20" spans="1:10" ht="12.75">
      <c r="A20" s="27">
        <v>2</v>
      </c>
      <c r="B20" s="19">
        <v>1.28</v>
      </c>
      <c r="C20" s="22">
        <v>2.1</v>
      </c>
      <c r="D20" s="3">
        <v>2.02</v>
      </c>
      <c r="E20" s="70">
        <v>1.96</v>
      </c>
      <c r="F20" s="70">
        <v>1.91</v>
      </c>
      <c r="G20">
        <v>1.87</v>
      </c>
      <c r="H20" s="70">
        <v>1.82</v>
      </c>
      <c r="I20" s="15"/>
      <c r="J20" s="22"/>
    </row>
    <row r="21" spans="1:10" ht="12.75">
      <c r="A21" s="27">
        <v>3</v>
      </c>
      <c r="B21" s="19">
        <v>1.28</v>
      </c>
      <c r="C21" s="22">
        <v>2.11</v>
      </c>
      <c r="D21" s="3">
        <v>1.97</v>
      </c>
      <c r="E21" s="70">
        <v>1.92</v>
      </c>
      <c r="F21" s="70">
        <v>1.76</v>
      </c>
      <c r="G21">
        <v>1.42</v>
      </c>
      <c r="H21" s="79">
        <v>0</v>
      </c>
      <c r="I21" s="35"/>
      <c r="J21" s="22"/>
    </row>
    <row r="22" spans="1:10" ht="12.75">
      <c r="A22" s="27">
        <v>4</v>
      </c>
      <c r="B22" s="19">
        <v>1.28</v>
      </c>
      <c r="C22" s="22">
        <v>2.1</v>
      </c>
      <c r="D22" s="3">
        <v>2.03</v>
      </c>
      <c r="E22" s="70">
        <v>1.86</v>
      </c>
      <c r="F22" s="70">
        <v>1.81</v>
      </c>
      <c r="G22">
        <v>1.77</v>
      </c>
      <c r="H22" s="70">
        <v>1.75</v>
      </c>
      <c r="I22" s="35"/>
      <c r="J22" s="22"/>
    </row>
    <row r="23" spans="1:10" ht="12.75">
      <c r="A23" s="27">
        <v>5</v>
      </c>
      <c r="B23" s="19">
        <v>1.28</v>
      </c>
      <c r="C23" s="22">
        <v>2.09</v>
      </c>
      <c r="D23" s="3">
        <v>2.04</v>
      </c>
      <c r="E23" s="70">
        <v>1.88</v>
      </c>
      <c r="F23" s="70">
        <v>1.83</v>
      </c>
      <c r="G23">
        <v>1.79</v>
      </c>
      <c r="H23" s="70">
        <v>1.77</v>
      </c>
      <c r="I23" s="15"/>
      <c r="J23" s="22"/>
    </row>
    <row r="24" spans="1:10" ht="12.75">
      <c r="A24" s="27">
        <v>6</v>
      </c>
      <c r="B24" s="19">
        <v>1.285</v>
      </c>
      <c r="C24" s="22">
        <v>2.08</v>
      </c>
      <c r="D24" s="3">
        <v>2.03</v>
      </c>
      <c r="E24" s="70">
        <v>1.92</v>
      </c>
      <c r="F24" s="70">
        <v>1.84</v>
      </c>
      <c r="G24">
        <v>1.74</v>
      </c>
      <c r="H24" s="79">
        <v>1.65</v>
      </c>
      <c r="I24" s="15"/>
      <c r="J24" s="22"/>
    </row>
    <row r="25" spans="1:10" ht="12.75">
      <c r="A25" s="27">
        <v>7</v>
      </c>
      <c r="B25" s="19">
        <v>1.285</v>
      </c>
      <c r="C25" s="18">
        <v>2.08</v>
      </c>
      <c r="D25" s="3">
        <v>2.02</v>
      </c>
      <c r="E25" s="70">
        <v>1.93</v>
      </c>
      <c r="F25" s="70">
        <v>1.85</v>
      </c>
      <c r="G25">
        <v>1.79</v>
      </c>
      <c r="H25" s="70">
        <v>1.73</v>
      </c>
      <c r="J25" s="18"/>
    </row>
    <row r="26" spans="1:10" ht="12.75">
      <c r="A26" s="27">
        <v>8</v>
      </c>
      <c r="B26" s="19">
        <v>1.285</v>
      </c>
      <c r="C26" s="18">
        <v>2.11</v>
      </c>
      <c r="D26" s="3">
        <v>2.05</v>
      </c>
      <c r="E26" s="70">
        <v>1.96</v>
      </c>
      <c r="F26" s="70">
        <v>1.89</v>
      </c>
      <c r="G26">
        <v>1.83</v>
      </c>
      <c r="H26" s="70">
        <v>1.79</v>
      </c>
      <c r="J26" s="18"/>
    </row>
    <row r="27" spans="1:10" ht="12.75">
      <c r="A27" s="27">
        <v>9</v>
      </c>
      <c r="B27" s="19">
        <v>1.285</v>
      </c>
      <c r="C27" s="18">
        <v>2.09</v>
      </c>
      <c r="D27" s="3">
        <v>2.06</v>
      </c>
      <c r="E27" s="70">
        <v>1.94</v>
      </c>
      <c r="F27" s="70">
        <v>1.88</v>
      </c>
      <c r="G27">
        <v>1.82</v>
      </c>
      <c r="H27" s="70">
        <v>1.77</v>
      </c>
      <c r="J27" s="18"/>
    </row>
    <row r="28" spans="1:10" ht="12.75">
      <c r="A28" s="27">
        <v>10</v>
      </c>
      <c r="B28" s="19">
        <v>1.28</v>
      </c>
      <c r="C28" s="18">
        <v>2.11</v>
      </c>
      <c r="D28" s="3">
        <v>2.04</v>
      </c>
      <c r="E28" s="70">
        <v>1.93</v>
      </c>
      <c r="F28" s="70">
        <v>1.89</v>
      </c>
      <c r="G28">
        <v>1.83</v>
      </c>
      <c r="H28" s="70">
        <v>1.79</v>
      </c>
      <c r="I28" s="35"/>
      <c r="J28" s="18"/>
    </row>
    <row r="29" spans="1:10" ht="12.75">
      <c r="A29" s="27">
        <v>11</v>
      </c>
      <c r="B29" s="19">
        <v>1.28</v>
      </c>
      <c r="C29" s="18">
        <v>2.09</v>
      </c>
      <c r="D29" s="3">
        <v>2.03</v>
      </c>
      <c r="E29" s="70">
        <v>1.95</v>
      </c>
      <c r="F29" s="70">
        <v>1.88</v>
      </c>
      <c r="G29">
        <v>1.79</v>
      </c>
      <c r="H29" s="70">
        <v>1.74</v>
      </c>
      <c r="J29" s="18"/>
    </row>
    <row r="30" spans="1:10" ht="12.75">
      <c r="A30" s="27">
        <v>12</v>
      </c>
      <c r="B30" s="19">
        <v>1.275</v>
      </c>
      <c r="C30" s="18">
        <v>2.08</v>
      </c>
      <c r="D30" s="3">
        <v>2.03</v>
      </c>
      <c r="E30" s="70">
        <v>1.93</v>
      </c>
      <c r="F30" s="70">
        <v>1.84</v>
      </c>
      <c r="G30">
        <v>1.74</v>
      </c>
      <c r="H30" s="79">
        <v>1.69</v>
      </c>
      <c r="J30" s="18"/>
    </row>
    <row r="31" spans="1:10" ht="12.75">
      <c r="A31" s="27">
        <v>13</v>
      </c>
      <c r="B31" s="19">
        <v>1.25</v>
      </c>
      <c r="C31" s="18">
        <v>2.07</v>
      </c>
      <c r="D31" s="3">
        <v>1.98</v>
      </c>
      <c r="E31" s="70">
        <v>1.9</v>
      </c>
      <c r="F31" s="70">
        <v>1.85</v>
      </c>
      <c r="G31">
        <v>1.62</v>
      </c>
      <c r="H31" s="79">
        <v>0</v>
      </c>
      <c r="J31" s="18"/>
    </row>
    <row r="32" spans="1:10" ht="12.75">
      <c r="A32" s="27">
        <v>14</v>
      </c>
      <c r="B32" s="19">
        <v>1.28</v>
      </c>
      <c r="C32" s="18">
        <v>2.08</v>
      </c>
      <c r="D32" s="3">
        <v>2.01</v>
      </c>
      <c r="E32" s="70">
        <v>1.94</v>
      </c>
      <c r="F32" s="70">
        <v>1.87</v>
      </c>
      <c r="G32">
        <v>1.79</v>
      </c>
      <c r="H32" s="70">
        <v>1.73</v>
      </c>
      <c r="J32" s="18"/>
    </row>
    <row r="33" spans="1:10" ht="12.75">
      <c r="A33" s="27">
        <v>15</v>
      </c>
      <c r="B33" s="19">
        <v>1.29</v>
      </c>
      <c r="C33" s="18">
        <v>2.15</v>
      </c>
      <c r="D33" s="3">
        <v>2.02</v>
      </c>
      <c r="E33" s="70">
        <v>1.93</v>
      </c>
      <c r="F33" s="70">
        <v>1.86</v>
      </c>
      <c r="G33">
        <v>1.79</v>
      </c>
      <c r="H33" s="70">
        <v>1.75</v>
      </c>
      <c r="J33" s="18"/>
    </row>
    <row r="34" spans="1:10" ht="12.75">
      <c r="A34" s="27">
        <v>16</v>
      </c>
      <c r="B34" s="19">
        <v>1.275</v>
      </c>
      <c r="C34" s="18">
        <v>2.08</v>
      </c>
      <c r="D34" s="3">
        <v>1.98</v>
      </c>
      <c r="E34" s="70">
        <v>1.91</v>
      </c>
      <c r="F34" s="70">
        <v>1.87</v>
      </c>
      <c r="G34">
        <v>1.78</v>
      </c>
      <c r="H34" s="79">
        <v>1.64</v>
      </c>
      <c r="J34" s="18"/>
    </row>
    <row r="35" spans="1:10" ht="12.75">
      <c r="A35" s="27">
        <v>17</v>
      </c>
      <c r="B35" s="19">
        <v>1.28</v>
      </c>
      <c r="C35" s="18">
        <v>2.11</v>
      </c>
      <c r="D35" s="3">
        <v>1.99</v>
      </c>
      <c r="E35" s="70">
        <v>1.96</v>
      </c>
      <c r="F35" s="71">
        <v>1.9</v>
      </c>
      <c r="G35">
        <v>1.85</v>
      </c>
      <c r="H35" s="70">
        <v>1.81</v>
      </c>
      <c r="J35" s="18"/>
    </row>
    <row r="36" spans="1:10" ht="12.75">
      <c r="A36" s="27">
        <v>18</v>
      </c>
      <c r="B36" s="19">
        <v>1.28</v>
      </c>
      <c r="C36" s="18">
        <v>2.09</v>
      </c>
      <c r="D36" s="3">
        <v>2.01</v>
      </c>
      <c r="E36" s="70">
        <v>1.93</v>
      </c>
      <c r="F36" s="71">
        <v>1.8</v>
      </c>
      <c r="G36">
        <v>1.74</v>
      </c>
      <c r="H36" s="79">
        <v>1.63</v>
      </c>
      <c r="J36" s="18"/>
    </row>
    <row r="37" spans="1:10" ht="12.75">
      <c r="A37" s="27">
        <v>19</v>
      </c>
      <c r="B37" s="64" t="s">
        <v>165</v>
      </c>
      <c r="C37" s="58" t="s">
        <v>165</v>
      </c>
      <c r="D37" s="77" t="s">
        <v>165</v>
      </c>
      <c r="E37" s="70" t="s">
        <v>165</v>
      </c>
      <c r="F37" s="71" t="s">
        <v>165</v>
      </c>
      <c r="G37"/>
      <c r="H37"/>
      <c r="I37" s="18"/>
      <c r="J37" s="18"/>
    </row>
    <row r="38" spans="1:10" ht="15">
      <c r="A38" s="27">
        <v>20</v>
      </c>
      <c r="B38" s="64" t="s">
        <v>165</v>
      </c>
      <c r="C38" s="58" t="s">
        <v>165</v>
      </c>
      <c r="D38" s="77" t="s">
        <v>165</v>
      </c>
      <c r="E38" s="61" t="s">
        <v>165</v>
      </c>
      <c r="F38" s="72" t="s">
        <v>165</v>
      </c>
      <c r="G38" s="18"/>
      <c r="H38" s="18"/>
      <c r="I38" s="18"/>
      <c r="J38" s="18"/>
    </row>
    <row r="39" spans="1:10" ht="12.75">
      <c r="A39" s="27">
        <v>21</v>
      </c>
      <c r="B39" s="64" t="s">
        <v>165</v>
      </c>
      <c r="C39" s="58" t="s">
        <v>165</v>
      </c>
      <c r="D39" s="77" t="s">
        <v>165</v>
      </c>
      <c r="E39" s="61" t="s">
        <v>165</v>
      </c>
      <c r="F39" s="77" t="s">
        <v>165</v>
      </c>
      <c r="G39" s="18"/>
      <c r="H39" s="18"/>
      <c r="I39" s="18"/>
      <c r="J39" s="18"/>
    </row>
    <row r="40" spans="1:10" ht="12.75">
      <c r="A40" s="27">
        <v>22</v>
      </c>
      <c r="B40" s="64" t="s">
        <v>165</v>
      </c>
      <c r="C40" s="58" t="s">
        <v>165</v>
      </c>
      <c r="D40" s="77" t="s">
        <v>165</v>
      </c>
      <c r="E40" s="61" t="s">
        <v>165</v>
      </c>
      <c r="F40" s="77" t="s">
        <v>165</v>
      </c>
      <c r="G40" s="18"/>
      <c r="H40" s="18"/>
      <c r="I40" s="18"/>
      <c r="J40" s="18"/>
    </row>
    <row r="41" spans="1:10" ht="15">
      <c r="A41" s="27">
        <v>23</v>
      </c>
      <c r="B41" s="64" t="s">
        <v>165</v>
      </c>
      <c r="C41" s="58" t="s">
        <v>165</v>
      </c>
      <c r="D41" s="77" t="s">
        <v>165</v>
      </c>
      <c r="E41" s="61" t="s">
        <v>165</v>
      </c>
      <c r="F41" s="72" t="s">
        <v>165</v>
      </c>
      <c r="G41" s="18"/>
      <c r="H41" s="18"/>
      <c r="I41" s="18"/>
      <c r="J41" s="18"/>
    </row>
    <row r="42" spans="1:10" ht="15">
      <c r="A42" s="27">
        <v>24</v>
      </c>
      <c r="B42" s="64" t="s">
        <v>165</v>
      </c>
      <c r="C42" s="58" t="s">
        <v>165</v>
      </c>
      <c r="D42" s="77" t="s">
        <v>165</v>
      </c>
      <c r="E42" s="61" t="s">
        <v>165</v>
      </c>
      <c r="F42" s="72" t="s">
        <v>165</v>
      </c>
      <c r="G42" s="18"/>
      <c r="H42" s="18"/>
      <c r="I42" s="18"/>
      <c r="J42" s="18"/>
    </row>
    <row r="44" spans="1:4" ht="12.75">
      <c r="A44" s="12" t="s">
        <v>128</v>
      </c>
      <c r="D44" s="73">
        <v>0.6527777777777778</v>
      </c>
    </row>
    <row r="45" spans="1:5" ht="12.75">
      <c r="A45" s="12" t="s">
        <v>129</v>
      </c>
      <c r="D45" s="3">
        <v>3.6</v>
      </c>
      <c r="E45" s="3" t="s">
        <v>130</v>
      </c>
    </row>
    <row r="46" spans="1:4" ht="12.75">
      <c r="A46" s="12" t="s">
        <v>131</v>
      </c>
      <c r="D46" s="36">
        <f>D45/6*C11</f>
        <v>450</v>
      </c>
    </row>
    <row r="47" spans="1:4" ht="12.75">
      <c r="A47" s="12" t="s">
        <v>132</v>
      </c>
      <c r="D47" s="37">
        <f>D46/C11</f>
        <v>0.6</v>
      </c>
    </row>
    <row r="48" spans="1:4" ht="12.75">
      <c r="A48" s="12" t="s">
        <v>133</v>
      </c>
      <c r="D48" s="38">
        <v>0.3</v>
      </c>
    </row>
    <row r="49" spans="1:4" ht="12.75">
      <c r="A49" s="12" t="s">
        <v>134</v>
      </c>
      <c r="D49" s="13">
        <v>1200</v>
      </c>
    </row>
    <row r="50" spans="1:5" ht="12.75">
      <c r="A50" s="12" t="s">
        <v>135</v>
      </c>
      <c r="D50" s="80">
        <v>2600</v>
      </c>
      <c r="E50" s="74" t="s">
        <v>165</v>
      </c>
    </row>
    <row r="51" spans="1:4" ht="12.75">
      <c r="A51" s="12" t="s">
        <v>136</v>
      </c>
      <c r="D51" s="38">
        <f>D49/D50</f>
        <v>0.46153846153846156</v>
      </c>
    </row>
  </sheetData>
  <printOptions/>
  <pageMargins left="1.25" right="0.75" top="1" bottom="0.75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workbookViewId="0" topLeftCell="A37">
      <selection activeCell="B46" sqref="B46"/>
    </sheetView>
  </sheetViews>
  <sheetFormatPr defaultColWidth="9.140625" defaultRowHeight="12.75"/>
  <cols>
    <col min="1" max="1" width="13.00390625" style="3" customWidth="1"/>
    <col min="2" max="2" width="10.00390625" style="3" customWidth="1"/>
    <col min="3" max="3" width="5.00390625" style="3" customWidth="1"/>
    <col min="4" max="5" width="10.00390625" style="3" customWidth="1"/>
    <col min="6" max="6" width="12.00390625" style="3" customWidth="1"/>
    <col min="7" max="7" width="11.00390625" style="3" bestFit="1" customWidth="1"/>
    <col min="8" max="16384" width="10.00390625" style="3" customWidth="1"/>
  </cols>
  <sheetData>
    <row r="1" ht="24.75" customHeight="1">
      <c r="B1" s="92" t="s">
        <v>195</v>
      </c>
    </row>
    <row r="4" ht="22.5" customHeight="1">
      <c r="C4" s="17" t="s">
        <v>72</v>
      </c>
    </row>
    <row r="7" ht="18" customHeight="1">
      <c r="B7" s="75" t="s">
        <v>170</v>
      </c>
    </row>
    <row r="10" ht="15" customHeight="1">
      <c r="A10" s="5" t="s">
        <v>73</v>
      </c>
    </row>
    <row r="11" ht="12.75">
      <c r="A11" s="3" t="s">
        <v>74</v>
      </c>
    </row>
    <row r="12" ht="12.75">
      <c r="A12" s="3" t="s">
        <v>75</v>
      </c>
    </row>
    <row r="13" ht="12.75">
      <c r="A13" s="3" t="s">
        <v>76</v>
      </c>
    </row>
    <row r="14" ht="12.75">
      <c r="A14" s="3" t="s">
        <v>77</v>
      </c>
    </row>
    <row r="15" ht="12.75">
      <c r="A15" s="3" t="s">
        <v>78</v>
      </c>
    </row>
    <row r="16" ht="12.75">
      <c r="A16" s="3" t="s">
        <v>79</v>
      </c>
    </row>
    <row r="17" ht="12.75">
      <c r="A17" s="3" t="s">
        <v>80</v>
      </c>
    </row>
    <row r="18" ht="12.75">
      <c r="A18" s="3" t="s">
        <v>81</v>
      </c>
    </row>
    <row r="20" ht="12.75">
      <c r="A20" s="3" t="s">
        <v>82</v>
      </c>
    </row>
    <row r="21" ht="12.75">
      <c r="A21" s="3" t="s">
        <v>83</v>
      </c>
    </row>
    <row r="22" ht="12.75">
      <c r="A22" s="3" t="s">
        <v>84</v>
      </c>
    </row>
    <row r="23" ht="12.75">
      <c r="A23" s="3" t="s">
        <v>85</v>
      </c>
    </row>
    <row r="24" ht="12.75">
      <c r="A24" s="3" t="s">
        <v>86</v>
      </c>
    </row>
    <row r="25" ht="12.75">
      <c r="A25" s="3" t="s">
        <v>87</v>
      </c>
    </row>
    <row r="27" ht="12.75">
      <c r="A27" s="12" t="s">
        <v>88</v>
      </c>
    </row>
    <row r="28" spans="1:7" ht="12.75">
      <c r="A28" s="3" t="s">
        <v>89</v>
      </c>
      <c r="B28" s="74" t="s">
        <v>169</v>
      </c>
      <c r="D28" s="3" t="s">
        <v>90</v>
      </c>
      <c r="G28" s="3">
        <f>(B29)*0.2*0.0147708*(B31)</f>
        <v>39.88116</v>
      </c>
    </row>
    <row r="29" spans="1:7" ht="12.75">
      <c r="A29" s="3" t="s">
        <v>91</v>
      </c>
      <c r="B29" s="3">
        <v>750</v>
      </c>
      <c r="D29" s="3" t="s">
        <v>92</v>
      </c>
      <c r="G29" s="3">
        <f>B30*G28</f>
        <v>39.88116</v>
      </c>
    </row>
    <row r="30" spans="1:2" ht="12.75">
      <c r="A30" s="3" t="s">
        <v>93</v>
      </c>
      <c r="B30" s="3">
        <v>1</v>
      </c>
    </row>
    <row r="31" spans="1:2" ht="12.75">
      <c r="A31" s="3" t="s">
        <v>94</v>
      </c>
      <c r="B31" s="3">
        <v>18</v>
      </c>
    </row>
    <row r="33" ht="12.75">
      <c r="A33" s="12" t="s">
        <v>95</v>
      </c>
    </row>
    <row r="34" spans="1:7" ht="12.75">
      <c r="A34" s="3" t="s">
        <v>96</v>
      </c>
      <c r="B34" s="74" t="s">
        <v>200</v>
      </c>
      <c r="D34" s="3" t="s">
        <v>90</v>
      </c>
      <c r="G34" s="3">
        <f>B35*0.2*0.0147708*B37</f>
        <v>53.17488</v>
      </c>
    </row>
    <row r="35" spans="1:7" ht="12.75">
      <c r="A35" s="3" t="s">
        <v>91</v>
      </c>
      <c r="B35" s="3">
        <v>1000</v>
      </c>
      <c r="D35" s="3" t="s">
        <v>97</v>
      </c>
      <c r="G35" s="3">
        <f>B36*G34</f>
        <v>106.34976</v>
      </c>
    </row>
    <row r="36" spans="1:2" ht="12.75">
      <c r="A36" s="3" t="s">
        <v>93</v>
      </c>
      <c r="B36" s="3">
        <v>2</v>
      </c>
    </row>
    <row r="37" spans="1:2" ht="12.75">
      <c r="A37" s="3" t="s">
        <v>94</v>
      </c>
      <c r="B37" s="3">
        <v>18</v>
      </c>
    </row>
    <row r="39" ht="12.75">
      <c r="A39" s="12" t="s">
        <v>98</v>
      </c>
    </row>
    <row r="40" spans="1:7" ht="12.75">
      <c r="A40" s="3" t="s">
        <v>89</v>
      </c>
      <c r="B40" s="74" t="s">
        <v>201</v>
      </c>
      <c r="D40" s="3" t="s">
        <v>90</v>
      </c>
      <c r="G40" s="3">
        <f>B41*0.2*0.0147708*B43</f>
        <v>40.678783200000005</v>
      </c>
    </row>
    <row r="41" spans="1:7" ht="12.75">
      <c r="A41" s="3" t="s">
        <v>91</v>
      </c>
      <c r="B41" s="3">
        <v>765</v>
      </c>
      <c r="D41" s="3" t="s">
        <v>99</v>
      </c>
      <c r="G41" s="3">
        <f>B42*G40</f>
        <v>40.678783200000005</v>
      </c>
    </row>
    <row r="42" spans="1:2" ht="12.75">
      <c r="A42" s="3" t="s">
        <v>100</v>
      </c>
      <c r="B42" s="3">
        <v>1</v>
      </c>
    </row>
    <row r="43" spans="1:2" ht="12.75">
      <c r="A43" s="3" t="s">
        <v>94</v>
      </c>
      <c r="B43" s="3">
        <v>18</v>
      </c>
    </row>
    <row r="45" ht="12.75">
      <c r="A45" s="12" t="s">
        <v>101</v>
      </c>
    </row>
    <row r="46" spans="1:7" ht="12.75">
      <c r="A46" s="3" t="s">
        <v>89</v>
      </c>
      <c r="B46" s="74" t="s">
        <v>202</v>
      </c>
      <c r="D46" s="3" t="s">
        <v>90</v>
      </c>
      <c r="G46" s="3">
        <f>B47*0.2*0.0147708*B49</f>
        <v>18.079459200000002</v>
      </c>
    </row>
    <row r="47" spans="1:7" ht="12.75">
      <c r="A47" s="3" t="s">
        <v>91</v>
      </c>
      <c r="B47" s="3">
        <v>510</v>
      </c>
      <c r="D47" s="3" t="s">
        <v>102</v>
      </c>
      <c r="G47" s="3">
        <f>B48*G46</f>
        <v>36.158918400000005</v>
      </c>
    </row>
    <row r="48" spans="1:2" ht="12.75">
      <c r="A48" s="3" t="s">
        <v>100</v>
      </c>
      <c r="B48" s="3">
        <v>2</v>
      </c>
    </row>
    <row r="49" spans="1:2" ht="12.75">
      <c r="A49" s="3" t="s">
        <v>94</v>
      </c>
      <c r="B49" s="3">
        <v>12</v>
      </c>
    </row>
    <row r="52" spans="1:8" ht="12.75">
      <c r="A52" s="12" t="s">
        <v>103</v>
      </c>
      <c r="H52" s="3">
        <f>G47+G41+G35+G29</f>
        <v>223.0686216</v>
      </c>
    </row>
    <row r="53" spans="1:8" ht="12.75">
      <c r="A53" s="12" t="s">
        <v>104</v>
      </c>
      <c r="H53" s="3">
        <f>H52/3</f>
        <v>74.3562072</v>
      </c>
    </row>
    <row r="54" spans="1:8" ht="12.75">
      <c r="A54" s="12" t="s">
        <v>105</v>
      </c>
      <c r="H54" s="3">
        <f>H53/60</f>
        <v>1.23927012</v>
      </c>
    </row>
    <row r="56" spans="1:9" s="23" customFormat="1" ht="15" customHeight="1">
      <c r="A56" s="4" t="s">
        <v>106</v>
      </c>
      <c r="H56" s="3"/>
      <c r="I56" s="24">
        <f>H54/0.01</f>
        <v>123.927012</v>
      </c>
    </row>
    <row r="58" ht="12.75">
      <c r="A58" s="25"/>
    </row>
  </sheetData>
  <printOptions/>
  <pageMargins left="0.75" right="0.75" top="0.25" bottom="0.25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B39" sqref="B39"/>
    </sheetView>
  </sheetViews>
  <sheetFormatPr defaultColWidth="9.140625" defaultRowHeight="12.75"/>
  <cols>
    <col min="1" max="1" width="19.00390625" style="3" customWidth="1"/>
    <col min="2" max="2" width="15.00390625" style="3" customWidth="1"/>
    <col min="3" max="3" width="10.00390625" style="3" customWidth="1"/>
    <col min="4" max="4" width="14.00390625" style="3" customWidth="1"/>
    <col min="5" max="16384" width="10.00390625" style="3" customWidth="1"/>
  </cols>
  <sheetData>
    <row r="1" spans="1:6" ht="25.5" customHeight="1">
      <c r="A1" s="99" t="s">
        <v>195</v>
      </c>
      <c r="B1" s="100"/>
      <c r="C1" s="100"/>
      <c r="D1" s="100"/>
      <c r="E1" s="100"/>
      <c r="F1" s="100"/>
    </row>
    <row r="5" spans="1:6" ht="22.5" customHeight="1">
      <c r="A5" s="97" t="s">
        <v>163</v>
      </c>
      <c r="B5" s="98"/>
      <c r="C5" s="98"/>
      <c r="D5" s="98"/>
      <c r="E5" s="98"/>
      <c r="F5" s="98"/>
    </row>
    <row r="8" spans="1:6" ht="17.25" customHeight="1">
      <c r="A8" s="96" t="s">
        <v>164</v>
      </c>
      <c r="B8" s="96"/>
      <c r="C8" s="96"/>
      <c r="D8" s="96"/>
      <c r="E8" s="96"/>
      <c r="F8" s="96"/>
    </row>
    <row r="13" spans="1:6" ht="12.75">
      <c r="A13" s="12" t="s">
        <v>51</v>
      </c>
      <c r="B13" s="58">
        <v>9404</v>
      </c>
      <c r="C13" s="18"/>
      <c r="D13" s="18">
        <v>8410</v>
      </c>
      <c r="F13" s="18">
        <v>9202</v>
      </c>
    </row>
    <row r="14" spans="1:6" ht="12.75">
      <c r="A14" s="12" t="s">
        <v>52</v>
      </c>
      <c r="B14" s="58" t="s">
        <v>160</v>
      </c>
      <c r="C14" s="18"/>
      <c r="D14" s="58" t="s">
        <v>160</v>
      </c>
      <c r="F14" s="58" t="s">
        <v>160</v>
      </c>
    </row>
    <row r="15" spans="1:6" ht="12.75">
      <c r="A15" s="12" t="s">
        <v>53</v>
      </c>
      <c r="B15" s="18">
        <v>850</v>
      </c>
      <c r="C15" s="18"/>
      <c r="D15" s="18">
        <v>850</v>
      </c>
      <c r="F15" s="18">
        <v>850</v>
      </c>
    </row>
    <row r="16" spans="1:6" ht="12.75">
      <c r="A16" s="12" t="s">
        <v>54</v>
      </c>
      <c r="B16" s="18">
        <f>B15*0.8</f>
        <v>680</v>
      </c>
      <c r="C16" s="18"/>
      <c r="D16" s="18">
        <f>D15*0.8</f>
        <v>680</v>
      </c>
      <c r="F16" s="18">
        <f>F15*0.8</f>
        <v>680</v>
      </c>
    </row>
    <row r="17" spans="1:6" ht="12.75">
      <c r="A17" s="12" t="s">
        <v>55</v>
      </c>
      <c r="B17" s="58" t="s">
        <v>161</v>
      </c>
      <c r="C17" s="18"/>
      <c r="D17" s="58" t="s">
        <v>162</v>
      </c>
      <c r="F17" s="58" t="s">
        <v>161</v>
      </c>
    </row>
    <row r="18" spans="1:6" ht="12.75">
      <c r="A18" s="12" t="s">
        <v>56</v>
      </c>
      <c r="B18" s="59">
        <v>0.6979166666666666</v>
      </c>
      <c r="C18" s="18"/>
      <c r="D18" s="59">
        <v>0.6979166666666666</v>
      </c>
      <c r="F18" s="59">
        <v>0.6979166666666666</v>
      </c>
    </row>
    <row r="19" spans="1:6" ht="12.75">
      <c r="A19" s="12" t="s">
        <v>57</v>
      </c>
      <c r="B19" s="59">
        <v>0.9791666666666666</v>
      </c>
      <c r="C19" s="18"/>
      <c r="D19" s="59">
        <v>0.9895833333333334</v>
      </c>
      <c r="F19" s="59">
        <v>0.9895833333333334</v>
      </c>
    </row>
    <row r="20" spans="1:6" ht="12.75">
      <c r="A20" s="12" t="s">
        <v>58</v>
      </c>
      <c r="B20" s="61">
        <v>6.75</v>
      </c>
      <c r="C20" s="18"/>
      <c r="D20" s="60">
        <v>7</v>
      </c>
      <c r="F20" s="60">
        <v>7</v>
      </c>
    </row>
    <row r="21" spans="1:6" ht="12.75">
      <c r="A21" s="12" t="s">
        <v>59</v>
      </c>
      <c r="B21" s="18">
        <v>4593.8</v>
      </c>
      <c r="C21" s="18"/>
      <c r="D21" s="18">
        <v>8906</v>
      </c>
      <c r="F21" s="18">
        <v>5337</v>
      </c>
    </row>
    <row r="22" spans="1:6" ht="12.75">
      <c r="A22" s="12" t="s">
        <v>60</v>
      </c>
      <c r="B22" s="18">
        <v>4596.9</v>
      </c>
      <c r="C22" s="18"/>
      <c r="D22" s="18">
        <v>8908</v>
      </c>
      <c r="F22" s="18">
        <v>5338</v>
      </c>
    </row>
    <row r="23" spans="1:6" ht="12.75">
      <c r="A23" s="12" t="s">
        <v>61</v>
      </c>
      <c r="B23" s="18">
        <f>B22-B21</f>
        <v>3.0999999999994543</v>
      </c>
      <c r="C23" s="18"/>
      <c r="D23" s="18">
        <f>D22-D21</f>
        <v>2</v>
      </c>
      <c r="F23" s="18">
        <f>F22-F21</f>
        <v>1</v>
      </c>
    </row>
    <row r="24" spans="1:6" ht="12.75">
      <c r="A24" s="12" t="s">
        <v>62</v>
      </c>
      <c r="B24" s="19">
        <v>1.21</v>
      </c>
      <c r="C24" s="19"/>
      <c r="D24" s="64">
        <v>1.24</v>
      </c>
      <c r="F24" s="19">
        <v>1.28</v>
      </c>
    </row>
    <row r="25" spans="1:6" ht="12.75">
      <c r="A25" s="12" t="s">
        <v>63</v>
      </c>
      <c r="B25" s="19">
        <v>1.15</v>
      </c>
      <c r="C25" s="19"/>
      <c r="D25" s="19">
        <v>1.2</v>
      </c>
      <c r="F25" s="19">
        <v>1.265</v>
      </c>
    </row>
    <row r="26" spans="1:6" ht="12.75">
      <c r="A26" s="12" t="s">
        <v>64</v>
      </c>
      <c r="B26" s="18">
        <f>(B24-B25)*1000</f>
        <v>60.00000000000006</v>
      </c>
      <c r="C26" s="18"/>
      <c r="D26" s="18">
        <f>(D24-D25)*1000</f>
        <v>40.000000000000036</v>
      </c>
      <c r="F26" s="18">
        <f>(F24-F25)*1000</f>
        <v>15.000000000000124</v>
      </c>
    </row>
    <row r="27" spans="1:6" ht="12.75">
      <c r="A27" s="12" t="s">
        <v>65</v>
      </c>
      <c r="B27" s="20">
        <v>49.3</v>
      </c>
      <c r="C27" s="20"/>
      <c r="D27" s="20">
        <v>50.2</v>
      </c>
      <c r="F27" s="20">
        <v>51.2</v>
      </c>
    </row>
    <row r="28" spans="1:6" ht="12.75">
      <c r="A28" s="12" t="s">
        <v>66</v>
      </c>
      <c r="B28" s="20">
        <v>47.7</v>
      </c>
      <c r="C28" s="20"/>
      <c r="D28" s="20">
        <v>49.3</v>
      </c>
      <c r="F28" s="20">
        <v>50.7</v>
      </c>
    </row>
    <row r="29" spans="1:6" ht="12.75">
      <c r="A29" s="12" t="s">
        <v>67</v>
      </c>
      <c r="B29" s="62">
        <f>B26/150*B15</f>
        <v>340.0000000000003</v>
      </c>
      <c r="C29" s="18"/>
      <c r="D29" s="62">
        <f>D26/150*D15</f>
        <v>226.66666666666686</v>
      </c>
      <c r="F29" s="62">
        <f>F26/150*F15</f>
        <v>85.0000000000007</v>
      </c>
    </row>
    <row r="30" spans="1:6" ht="12.75">
      <c r="A30" s="12" t="s">
        <v>68</v>
      </c>
      <c r="B30" s="21">
        <f>B29/B20</f>
        <v>50.37037037037041</v>
      </c>
      <c r="C30" s="21"/>
      <c r="D30" s="21">
        <f>D29/D20</f>
        <v>32.38095238095241</v>
      </c>
      <c r="F30" s="21">
        <f>F29/F20</f>
        <v>12.142857142857242</v>
      </c>
    </row>
    <row r="31" spans="1:6" ht="12.75">
      <c r="A31" s="12" t="s">
        <v>69</v>
      </c>
      <c r="B31" s="62">
        <f>B29/B23</f>
        <v>109.6774193548581</v>
      </c>
      <c r="C31" s="18"/>
      <c r="D31" s="62">
        <f>D29/D23</f>
        <v>113.33333333333343</v>
      </c>
      <c r="F31" s="62">
        <f>F29/F23</f>
        <v>85.0000000000007</v>
      </c>
    </row>
    <row r="32" spans="1:6" ht="12.75">
      <c r="A32" s="12" t="s">
        <v>70</v>
      </c>
      <c r="B32" s="21">
        <f>B30*8</f>
        <v>402.9629629629633</v>
      </c>
      <c r="C32" s="21"/>
      <c r="D32" s="21">
        <f>D30*8</f>
        <v>259.04761904761926</v>
      </c>
      <c r="F32" s="21">
        <f>F30*8</f>
        <v>97.14285714285793</v>
      </c>
    </row>
    <row r="33" spans="1:6" ht="12.75">
      <c r="A33" s="12" t="s">
        <v>71</v>
      </c>
      <c r="B33" s="22">
        <f>B16/B32</f>
        <v>1.6874999999999987</v>
      </c>
      <c r="C33" s="22"/>
      <c r="D33" s="22">
        <f>D16/D32</f>
        <v>2.624999999999998</v>
      </c>
      <c r="F33" s="22">
        <f>F16/F32</f>
        <v>6.999999999999943</v>
      </c>
    </row>
    <row r="34" spans="1:6" ht="12.75">
      <c r="A34" s="63" t="s">
        <v>158</v>
      </c>
      <c r="B34" s="22">
        <f>2/B33</f>
        <v>1.1851851851851862</v>
      </c>
      <c r="C34" s="22"/>
      <c r="D34" s="22">
        <f>2/D33</f>
        <v>0.7619047619047625</v>
      </c>
      <c r="F34" s="22">
        <f>2/F33</f>
        <v>0.28571428571428803</v>
      </c>
    </row>
    <row r="36" ht="12.75">
      <c r="A36" s="63" t="s">
        <v>159</v>
      </c>
    </row>
  </sheetData>
  <mergeCells count="3">
    <mergeCell ref="A8:F8"/>
    <mergeCell ref="A5:F5"/>
    <mergeCell ref="A1:F1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51"/>
  <sheetViews>
    <sheetView workbookViewId="0" topLeftCell="A10">
      <selection activeCell="E17" sqref="E17"/>
    </sheetView>
  </sheetViews>
  <sheetFormatPr defaultColWidth="9.140625" defaultRowHeight="12.75"/>
  <cols>
    <col min="1" max="2" width="10.00390625" style="3" customWidth="1"/>
    <col min="3" max="3" width="14.28125" style="3" customWidth="1"/>
    <col min="4" max="4" width="12.421875" style="3" customWidth="1"/>
    <col min="5" max="6" width="10.00390625" style="3" customWidth="1"/>
    <col min="7" max="7" width="12.00390625" style="3" customWidth="1"/>
    <col min="8" max="16384" width="10.00390625" style="3" customWidth="1"/>
  </cols>
  <sheetData>
    <row r="6" ht="18.75" customHeight="1">
      <c r="A6" s="6" t="s">
        <v>20</v>
      </c>
    </row>
    <row r="8" ht="17.25" customHeight="1">
      <c r="A8" s="57" t="s">
        <v>199</v>
      </c>
    </row>
    <row r="11" ht="15" customHeight="1">
      <c r="A11" s="4" t="s">
        <v>21</v>
      </c>
    </row>
    <row r="12" spans="2:5" ht="12.75">
      <c r="B12" s="3" t="s">
        <v>22</v>
      </c>
      <c r="D12" s="94">
        <v>29</v>
      </c>
      <c r="E12" s="74"/>
    </row>
    <row r="13" spans="2:4" ht="12.75">
      <c r="B13" s="3" t="s">
        <v>23</v>
      </c>
      <c r="D13" s="13">
        <v>22</v>
      </c>
    </row>
    <row r="14" spans="2:4" ht="12.75">
      <c r="B14" s="3" t="s">
        <v>24</v>
      </c>
      <c r="D14" s="13">
        <v>7864</v>
      </c>
    </row>
    <row r="15" spans="2:5" ht="12.75">
      <c r="B15" s="3" t="s">
        <v>25</v>
      </c>
      <c r="E15" s="94">
        <v>18</v>
      </c>
    </row>
    <row r="16" spans="2:5" ht="12.75">
      <c r="B16" s="3" t="s">
        <v>26</v>
      </c>
      <c r="E16" s="94">
        <v>2</v>
      </c>
    </row>
    <row r="18" ht="15" customHeight="1">
      <c r="A18" s="4" t="s">
        <v>27</v>
      </c>
    </row>
    <row r="20" spans="5:7" ht="12.75">
      <c r="E20" s="11" t="s">
        <v>28</v>
      </c>
      <c r="G20" s="93" t="s">
        <v>203</v>
      </c>
    </row>
    <row r="21" spans="2:7" ht="12.75">
      <c r="B21" s="3" t="s">
        <v>29</v>
      </c>
      <c r="E21" s="3">
        <f>D12*E15</f>
        <v>522</v>
      </c>
      <c r="G21" s="3">
        <f>D12*E16</f>
        <v>58</v>
      </c>
    </row>
    <row r="23" spans="2:7" ht="12.75">
      <c r="B23" s="3" t="s">
        <v>30</v>
      </c>
      <c r="E23" s="3">
        <f>E21*52</f>
        <v>27144</v>
      </c>
      <c r="G23" s="3">
        <f>G21*52</f>
        <v>3016</v>
      </c>
    </row>
    <row r="25" spans="2:7" ht="12.75">
      <c r="B25" s="3" t="s">
        <v>31</v>
      </c>
      <c r="E25" s="3">
        <f>E23/60</f>
        <v>452.4</v>
      </c>
      <c r="G25" s="95">
        <f>G23/60</f>
        <v>50.266666666666666</v>
      </c>
    </row>
    <row r="27" spans="2:7" ht="12.75">
      <c r="B27" s="3" t="s">
        <v>32</v>
      </c>
      <c r="E27" s="13">
        <f>E25*D13</f>
        <v>9952.8</v>
      </c>
      <c r="F27" s="13"/>
      <c r="G27" s="13">
        <f>G25*D13</f>
        <v>1105.8666666666666</v>
      </c>
    </row>
    <row r="28" spans="5:7" ht="12.75">
      <c r="E28" s="13"/>
      <c r="F28" s="13"/>
      <c r="G28" s="13"/>
    </row>
    <row r="29" spans="2:7" ht="12.75">
      <c r="B29" s="3" t="s">
        <v>33</v>
      </c>
      <c r="E29" s="13">
        <f>E27</f>
        <v>9952.8</v>
      </c>
      <c r="F29" s="13"/>
      <c r="G29" s="13">
        <f>G27+D14</f>
        <v>8969.866666666667</v>
      </c>
    </row>
    <row r="31" ht="15" customHeight="1">
      <c r="A31" s="4" t="s">
        <v>34</v>
      </c>
    </row>
    <row r="33" spans="2:4" ht="12.75">
      <c r="B33" s="3" t="s">
        <v>35</v>
      </c>
      <c r="D33" s="15">
        <f>D35*12</f>
        <v>10.814886263162126</v>
      </c>
    </row>
    <row r="35" spans="2:4" ht="12.75">
      <c r="B35" s="3" t="s">
        <v>36</v>
      </c>
      <c r="D35" s="15">
        <f>G29/E29</f>
        <v>0.9012405219301772</v>
      </c>
    </row>
    <row r="37" ht="15" customHeight="1">
      <c r="A37" s="4" t="s">
        <v>37</v>
      </c>
    </row>
    <row r="39" spans="2:3" ht="12.75">
      <c r="B39" s="3" t="s">
        <v>38</v>
      </c>
      <c r="C39" s="13">
        <f>E29-G29</f>
        <v>982.9333333333325</v>
      </c>
    </row>
    <row r="40" spans="2:3" ht="12.75">
      <c r="B40" s="3" t="s">
        <v>39</v>
      </c>
      <c r="C40" s="13">
        <f>E27-G27</f>
        <v>8846.933333333332</v>
      </c>
    </row>
    <row r="41" spans="2:3" ht="12.75">
      <c r="B41" s="3" t="s">
        <v>40</v>
      </c>
      <c r="C41" s="13">
        <f>E27-G27</f>
        <v>8846.933333333332</v>
      </c>
    </row>
    <row r="42" spans="2:3" ht="12.75">
      <c r="B42" s="3" t="s">
        <v>41</v>
      </c>
      <c r="C42" s="13">
        <f>E27-G27</f>
        <v>8846.933333333332</v>
      </c>
    </row>
    <row r="43" spans="2:3" ht="12.75">
      <c r="B43" s="3" t="s">
        <v>42</v>
      </c>
      <c r="C43" s="13">
        <f>E27-G27</f>
        <v>8846.933333333332</v>
      </c>
    </row>
    <row r="44" ht="12.75">
      <c r="C44" s="13"/>
    </row>
    <row r="45" spans="2:3" ht="15" customHeight="1">
      <c r="B45" s="4" t="s">
        <v>43</v>
      </c>
      <c r="C45" s="16">
        <f>SUM(C39:C43)</f>
        <v>36370.666666666664</v>
      </c>
    </row>
    <row r="47" ht="12.75">
      <c r="A47" s="12" t="s">
        <v>44</v>
      </c>
    </row>
    <row r="48" ht="12.75">
      <c r="A48" s="12"/>
    </row>
    <row r="49" spans="1:4" ht="12.75">
      <c r="A49" s="12" t="s">
        <v>45</v>
      </c>
      <c r="D49" s="12" t="s">
        <v>46</v>
      </c>
    </row>
    <row r="50" spans="1:4" ht="12.75">
      <c r="A50" s="12" t="s">
        <v>47</v>
      </c>
      <c r="D50" s="12" t="s">
        <v>48</v>
      </c>
    </row>
    <row r="51" spans="1:4" ht="12.75">
      <c r="A51" s="12" t="s">
        <v>49</v>
      </c>
      <c r="D51" s="12" t="s">
        <v>50</v>
      </c>
    </row>
  </sheetData>
  <printOptions/>
  <pageMargins left="1" right="1" top="1" bottom="1" header="0.5" footer="0.5"/>
  <pageSetup fitToHeight="1" fitToWidth="1" horizontalDpi="300" verticalDpi="3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9:H39"/>
  <sheetViews>
    <sheetView workbookViewId="0" topLeftCell="A15">
      <selection activeCell="C27" sqref="C27"/>
    </sheetView>
  </sheetViews>
  <sheetFormatPr defaultColWidth="9.140625" defaultRowHeight="12.75"/>
  <cols>
    <col min="1" max="1" width="5.00390625" style="3" customWidth="1"/>
    <col min="2" max="2" width="15.00390625" style="3" customWidth="1"/>
    <col min="3" max="3" width="18.00390625" style="3" customWidth="1"/>
    <col min="4" max="4" width="10.00390625" style="3" customWidth="1"/>
    <col min="5" max="5" width="16.00390625" style="3" customWidth="1"/>
    <col min="6" max="6" width="10.00390625" style="3" customWidth="1"/>
    <col min="7" max="7" width="16.00390625" style="3" customWidth="1"/>
    <col min="8" max="8" width="5.00390625" style="3" customWidth="1"/>
    <col min="9" max="16384" width="10.00390625" style="3" customWidth="1"/>
  </cols>
  <sheetData>
    <row r="9" ht="18.75" customHeight="1">
      <c r="B9" s="90" t="s">
        <v>198</v>
      </c>
    </row>
    <row r="11" ht="15" customHeight="1">
      <c r="C11" s="4" t="s">
        <v>0</v>
      </c>
    </row>
    <row r="17" spans="3:7" ht="15" customHeight="1">
      <c r="C17" s="5" t="s">
        <v>1</v>
      </c>
      <c r="D17" s="5"/>
      <c r="E17" s="5" t="s">
        <v>2</v>
      </c>
      <c r="F17" s="5"/>
      <c r="G17" s="5" t="s">
        <v>3</v>
      </c>
    </row>
    <row r="19" spans="2:8" ht="17.25" customHeight="1">
      <c r="B19" s="10" t="s">
        <v>4</v>
      </c>
      <c r="C19" s="7" t="s">
        <v>5</v>
      </c>
      <c r="D19" s="7"/>
      <c r="E19" s="7" t="s">
        <v>6</v>
      </c>
      <c r="F19" s="7"/>
      <c r="G19" s="7" t="s">
        <v>6</v>
      </c>
      <c r="H19" s="11"/>
    </row>
    <row r="20" spans="2:8" ht="15.75" customHeight="1">
      <c r="B20" s="10" t="s">
        <v>7</v>
      </c>
      <c r="C20" s="1">
        <v>839</v>
      </c>
      <c r="D20" s="8"/>
      <c r="E20" s="1">
        <v>714</v>
      </c>
      <c r="F20" s="8"/>
      <c r="G20" s="1">
        <v>678</v>
      </c>
      <c r="H20" s="11"/>
    </row>
    <row r="21" spans="2:8" ht="15.75" customHeight="1">
      <c r="B21" s="10" t="s">
        <v>8</v>
      </c>
      <c r="C21" s="7">
        <v>515</v>
      </c>
      <c r="D21" s="9"/>
      <c r="E21" s="7">
        <v>425</v>
      </c>
      <c r="F21" s="9"/>
      <c r="G21" s="7">
        <v>425</v>
      </c>
      <c r="H21" s="11"/>
    </row>
    <row r="22" spans="2:8" ht="16.5" customHeight="1">
      <c r="B22" s="10" t="s">
        <v>9</v>
      </c>
      <c r="C22" s="7">
        <v>6.06</v>
      </c>
      <c r="D22" s="9"/>
      <c r="E22" s="7">
        <v>4.92</v>
      </c>
      <c r="F22" s="9"/>
      <c r="G22" s="7">
        <v>4.92</v>
      </c>
      <c r="H22" s="11"/>
    </row>
    <row r="23" spans="2:8" ht="17.25" customHeight="1">
      <c r="B23" s="10" t="s">
        <v>10</v>
      </c>
      <c r="C23" s="7">
        <v>84</v>
      </c>
      <c r="D23" s="9"/>
      <c r="E23" s="7">
        <v>84</v>
      </c>
      <c r="F23" s="9"/>
      <c r="G23" s="7">
        <v>72</v>
      </c>
      <c r="H23" s="11"/>
    </row>
    <row r="24" spans="2:8" ht="18.75" customHeight="1">
      <c r="B24" s="10" t="s">
        <v>11</v>
      </c>
      <c r="C24" s="1">
        <f>C20/C21</f>
        <v>1.629126213592233</v>
      </c>
      <c r="D24" s="9"/>
      <c r="E24" s="1">
        <f>E20/E21</f>
        <v>1.68</v>
      </c>
      <c r="F24" s="9"/>
      <c r="G24" s="1">
        <f>G20/G21</f>
        <v>1.5952941176470588</v>
      </c>
      <c r="H24" s="11"/>
    </row>
    <row r="25" spans="2:8" ht="16.5" customHeight="1">
      <c r="B25" s="10" t="s">
        <v>12</v>
      </c>
      <c r="C25" s="1">
        <f>C20/C22</f>
        <v>138.44884488448847</v>
      </c>
      <c r="D25" s="9"/>
      <c r="E25" s="1">
        <f>E20/E22</f>
        <v>145.1219512195122</v>
      </c>
      <c r="F25" s="9"/>
      <c r="G25" s="1">
        <f>G20/G22</f>
        <v>137.8048780487805</v>
      </c>
      <c r="H25" s="11"/>
    </row>
    <row r="26" spans="2:8" ht="17.25" customHeight="1">
      <c r="B26" s="10" t="s">
        <v>13</v>
      </c>
      <c r="C26" s="1">
        <f>C25/C23</f>
        <v>1.6482005343391484</v>
      </c>
      <c r="D26" s="9"/>
      <c r="E26" s="1">
        <f>E25/E23</f>
        <v>1.7276422764227644</v>
      </c>
      <c r="F26" s="9"/>
      <c r="G26" s="1">
        <f>G25/G23</f>
        <v>1.9139566395663958</v>
      </c>
      <c r="H26" s="11"/>
    </row>
    <row r="27" spans="2:8" ht="16.5" customHeight="1">
      <c r="B27" s="10" t="s">
        <v>14</v>
      </c>
      <c r="C27" s="1">
        <f>C26*12</f>
        <v>19.77840641206978</v>
      </c>
      <c r="D27" s="9"/>
      <c r="E27" s="1">
        <f>E26*12</f>
        <v>20.731707317073173</v>
      </c>
      <c r="F27" s="9"/>
      <c r="G27" s="1">
        <f>G26*12</f>
        <v>22.96747967479675</v>
      </c>
      <c r="H27" s="11"/>
    </row>
    <row r="28" spans="2:8" ht="17.25" customHeight="1">
      <c r="B28" s="10" t="s">
        <v>15</v>
      </c>
      <c r="C28" s="2">
        <f>1-(E21/C21)</f>
        <v>0.1747572815533981</v>
      </c>
      <c r="D28" s="9"/>
      <c r="E28" s="7"/>
      <c r="F28" s="9"/>
      <c r="G28" s="9"/>
      <c r="H28" s="11"/>
    </row>
    <row r="29" spans="2:8" ht="16.5" customHeight="1">
      <c r="B29" s="10" t="s">
        <v>16</v>
      </c>
      <c r="C29" s="2">
        <f>1-(E22/C22)</f>
        <v>0.18811881188118806</v>
      </c>
      <c r="D29" s="9"/>
      <c r="E29" s="7"/>
      <c r="F29" s="9"/>
      <c r="G29" s="9"/>
      <c r="H29" s="11"/>
    </row>
    <row r="35" ht="12.75">
      <c r="A35" s="12" t="s">
        <v>17</v>
      </c>
    </row>
    <row r="36" ht="12.75">
      <c r="A36" s="12"/>
    </row>
    <row r="37" ht="12.75">
      <c r="A37" s="12" t="s">
        <v>18</v>
      </c>
    </row>
    <row r="38" ht="12.75">
      <c r="A38" s="12"/>
    </row>
    <row r="39" ht="12.75">
      <c r="A39" s="12" t="s">
        <v>19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55"/>
  <sheetViews>
    <sheetView tabSelected="1" workbookViewId="0" topLeftCell="A33">
      <selection activeCell="C49" sqref="C49"/>
    </sheetView>
  </sheetViews>
  <sheetFormatPr defaultColWidth="9.140625" defaultRowHeight="12.75"/>
  <cols>
    <col min="1" max="2" width="10.00390625" style="3" customWidth="1"/>
    <col min="3" max="3" width="14.00390625" style="3" customWidth="1"/>
    <col min="4" max="5" width="11.00390625" style="3" customWidth="1"/>
    <col min="6" max="6" width="10.00390625" style="3" customWidth="1"/>
    <col min="7" max="7" width="15.00390625" style="3" customWidth="1"/>
    <col min="8" max="16384" width="10.00390625" style="3" customWidth="1"/>
  </cols>
  <sheetData>
    <row r="5" ht="18.75" customHeight="1">
      <c r="A5" s="90" t="s">
        <v>197</v>
      </c>
    </row>
    <row r="6" ht="18.75" customHeight="1">
      <c r="A6" s="6" t="s">
        <v>137</v>
      </c>
    </row>
    <row r="8" ht="17.25" customHeight="1">
      <c r="A8" s="57" t="s">
        <v>175</v>
      </c>
    </row>
    <row r="11" ht="15" customHeight="1">
      <c r="A11" s="4" t="s">
        <v>21</v>
      </c>
    </row>
    <row r="12" spans="2:4" ht="12.75">
      <c r="B12" s="3" t="s">
        <v>22</v>
      </c>
      <c r="D12" s="3">
        <v>1</v>
      </c>
    </row>
    <row r="13" spans="2:4" ht="12.75">
      <c r="B13" s="3" t="s">
        <v>138</v>
      </c>
      <c r="D13" s="81" t="s">
        <v>169</v>
      </c>
    </row>
    <row r="14" spans="2:4" ht="12.75">
      <c r="B14" s="3" t="s">
        <v>139</v>
      </c>
      <c r="D14" s="13">
        <v>2700</v>
      </c>
    </row>
    <row r="15" spans="2:4" ht="12.75">
      <c r="B15" s="3" t="s">
        <v>140</v>
      </c>
      <c r="D15" s="13">
        <v>3175</v>
      </c>
    </row>
    <row r="16" spans="2:4" ht="12.75">
      <c r="B16" s="3" t="s">
        <v>141</v>
      </c>
      <c r="D16" s="13">
        <f>(D15-D14)*D12</f>
        <v>475</v>
      </c>
    </row>
    <row r="17" spans="2:4" ht="12.75">
      <c r="B17" s="3" t="s">
        <v>23</v>
      </c>
      <c r="D17" s="13">
        <v>20</v>
      </c>
    </row>
    <row r="18" spans="2:5" ht="12.75">
      <c r="B18" s="3" t="s">
        <v>25</v>
      </c>
      <c r="E18" s="14">
        <v>18</v>
      </c>
    </row>
    <row r="19" ht="12.75">
      <c r="B19" s="12" t="s">
        <v>142</v>
      </c>
    </row>
    <row r="22" ht="15" customHeight="1">
      <c r="A22" s="4" t="s">
        <v>27</v>
      </c>
    </row>
    <row r="24" spans="5:7" ht="12.75">
      <c r="E24" s="39" t="s">
        <v>28</v>
      </c>
      <c r="F24" s="18"/>
      <c r="G24" s="39" t="s">
        <v>143</v>
      </c>
    </row>
    <row r="25" spans="2:7" ht="12.75">
      <c r="B25" s="3" t="s">
        <v>29</v>
      </c>
      <c r="E25" s="18">
        <f>D12*E18</f>
        <v>18</v>
      </c>
      <c r="F25" s="18"/>
      <c r="G25" s="18"/>
    </row>
    <row r="26" spans="5:7" ht="12.75">
      <c r="E26" s="18"/>
      <c r="F26" s="18"/>
      <c r="G26" s="18"/>
    </row>
    <row r="27" spans="2:7" ht="12.75">
      <c r="B27" s="3" t="s">
        <v>30</v>
      </c>
      <c r="E27" s="18">
        <f>E25*52</f>
        <v>936</v>
      </c>
      <c r="F27" s="18"/>
      <c r="G27" s="18">
        <f>(E18*6)*D12</f>
        <v>108</v>
      </c>
    </row>
    <row r="28" spans="5:7" ht="12.75">
      <c r="E28" s="18"/>
      <c r="F28" s="18"/>
      <c r="G28" s="18"/>
    </row>
    <row r="29" spans="2:7" ht="12.75">
      <c r="B29" s="3" t="s">
        <v>31</v>
      </c>
      <c r="E29" s="21">
        <f>E27/60</f>
        <v>15.6</v>
      </c>
      <c r="F29" s="18"/>
      <c r="G29" s="62">
        <f>G27/60</f>
        <v>1.8</v>
      </c>
    </row>
    <row r="30" spans="5:7" ht="12.75">
      <c r="E30" s="18"/>
      <c r="F30" s="18"/>
      <c r="G30" s="18"/>
    </row>
    <row r="31" spans="2:7" ht="12.75">
      <c r="B31" s="3" t="s">
        <v>32</v>
      </c>
      <c r="E31" s="40">
        <f>E29*D17</f>
        <v>312</v>
      </c>
      <c r="F31" s="40"/>
      <c r="G31" s="40">
        <f>G29*D17</f>
        <v>36</v>
      </c>
    </row>
    <row r="32" spans="5:7" ht="12.75">
      <c r="E32" s="40"/>
      <c r="F32" s="40"/>
      <c r="G32" s="40"/>
    </row>
    <row r="33" spans="2:7" ht="12.75">
      <c r="B33" s="3" t="s">
        <v>33</v>
      </c>
      <c r="E33" s="40">
        <f>E31</f>
        <v>312</v>
      </c>
      <c r="F33" s="40"/>
      <c r="G33" s="40">
        <f>G31+D16</f>
        <v>511</v>
      </c>
    </row>
    <row r="35" ht="15" customHeight="1">
      <c r="A35" s="4" t="s">
        <v>34</v>
      </c>
    </row>
    <row r="37" spans="2:4" ht="12.75">
      <c r="B37" s="3" t="s">
        <v>35</v>
      </c>
      <c r="D37" s="41">
        <f>D39*12</f>
        <v>19.653846153846153</v>
      </c>
    </row>
    <row r="38" ht="12.75">
      <c r="D38" s="14"/>
    </row>
    <row r="39" spans="2:4" ht="12.75">
      <c r="B39" s="3" t="s">
        <v>36</v>
      </c>
      <c r="D39" s="41">
        <f>G33/E33</f>
        <v>1.6378205128205128</v>
      </c>
    </row>
    <row r="41" ht="15" customHeight="1">
      <c r="A41" s="4" t="s">
        <v>37</v>
      </c>
    </row>
    <row r="43" spans="2:3" ht="12.75">
      <c r="B43" s="3" t="s">
        <v>38</v>
      </c>
      <c r="C43" s="13">
        <f>E33-G33</f>
        <v>-199</v>
      </c>
    </row>
    <row r="44" spans="2:3" ht="12.75">
      <c r="B44" s="3" t="s">
        <v>39</v>
      </c>
      <c r="C44" s="13">
        <f>E31-G31</f>
        <v>276</v>
      </c>
    </row>
    <row r="45" spans="2:3" ht="12.75">
      <c r="B45" s="3" t="s">
        <v>40</v>
      </c>
      <c r="C45" s="13">
        <f>E31-G31</f>
        <v>276</v>
      </c>
    </row>
    <row r="46" spans="2:3" ht="12.75">
      <c r="B46" s="3" t="s">
        <v>41</v>
      </c>
      <c r="C46" s="13">
        <f>E31-G31</f>
        <v>276</v>
      </c>
    </row>
    <row r="47" spans="2:3" ht="12.75">
      <c r="B47" s="3" t="s">
        <v>42</v>
      </c>
      <c r="C47" s="13">
        <f>E31-G31</f>
        <v>276</v>
      </c>
    </row>
    <row r="48" spans="2:3" ht="12.75">
      <c r="B48" s="74" t="s">
        <v>204</v>
      </c>
      <c r="C48" s="13">
        <f>E31-G32</f>
        <v>312</v>
      </c>
    </row>
    <row r="49" spans="2:3" ht="15" customHeight="1">
      <c r="B49" s="4" t="s">
        <v>43</v>
      </c>
      <c r="C49" s="16">
        <f>SUM(C43:C47)</f>
        <v>905</v>
      </c>
    </row>
    <row r="51" ht="12.75">
      <c r="A51" s="12"/>
    </row>
    <row r="52" ht="12.75">
      <c r="A52" s="12"/>
    </row>
    <row r="53" spans="1:4" ht="12.75">
      <c r="A53" s="12"/>
      <c r="D53" s="12"/>
    </row>
    <row r="54" spans="1:4" ht="12.75">
      <c r="A54" s="12"/>
      <c r="D54" s="12"/>
    </row>
    <row r="55" spans="1:4" ht="12.75">
      <c r="A55" s="12"/>
      <c r="D55" s="12"/>
    </row>
  </sheetData>
  <printOptions/>
  <pageMargins left="1.25" right="1" top="1" bottom="1" header="0.5" footer="0.5"/>
  <pageSetup fitToHeight="1" fitToWidth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42"/>
  <sheetViews>
    <sheetView workbookViewId="0" topLeftCell="A19">
      <selection activeCell="F26" sqref="F26"/>
    </sheetView>
  </sheetViews>
  <sheetFormatPr defaultColWidth="9.140625" defaultRowHeight="12.75"/>
  <cols>
    <col min="1" max="2" width="6.00390625" style="3" customWidth="1"/>
    <col min="3" max="3" width="21.00390625" style="3" customWidth="1"/>
    <col min="4" max="4" width="17.00390625" style="3" customWidth="1"/>
    <col min="5" max="5" width="10.00390625" style="3" customWidth="1"/>
    <col min="6" max="6" width="14.00390625" style="3" customWidth="1"/>
    <col min="7" max="16384" width="10.00390625" style="3" customWidth="1"/>
  </cols>
  <sheetData>
    <row r="3" ht="18.75" customHeight="1">
      <c r="B3" s="90" t="s">
        <v>196</v>
      </c>
    </row>
    <row r="8" ht="15" customHeight="1">
      <c r="C8" s="4" t="s">
        <v>144</v>
      </c>
    </row>
    <row r="14" spans="2:7" ht="12.75">
      <c r="B14" s="42"/>
      <c r="C14" s="43"/>
      <c r="D14" s="43"/>
      <c r="E14" s="43"/>
      <c r="F14" s="43"/>
      <c r="G14" s="44"/>
    </row>
    <row r="15" spans="2:7" ht="12.75">
      <c r="B15" s="45"/>
      <c r="G15" s="46"/>
    </row>
    <row r="16" spans="2:7" ht="15" customHeight="1">
      <c r="B16" s="45"/>
      <c r="D16" s="5" t="s">
        <v>1</v>
      </c>
      <c r="E16" s="5"/>
      <c r="F16" s="5" t="s">
        <v>145</v>
      </c>
      <c r="G16" s="47"/>
    </row>
    <row r="17" spans="2:7" ht="12.75">
      <c r="B17" s="45"/>
      <c r="G17" s="46"/>
    </row>
    <row r="18" spans="2:7" ht="17.25" customHeight="1">
      <c r="B18" s="45"/>
      <c r="C18" s="12" t="s">
        <v>4</v>
      </c>
      <c r="D18" s="18" t="s">
        <v>5</v>
      </c>
      <c r="E18" s="18"/>
      <c r="F18" s="18" t="s">
        <v>146</v>
      </c>
      <c r="G18" s="48"/>
    </row>
    <row r="19" spans="2:7" ht="15.75" customHeight="1">
      <c r="B19" s="45"/>
      <c r="C19" s="12" t="s">
        <v>7</v>
      </c>
      <c r="D19" s="40">
        <v>809</v>
      </c>
      <c r="E19" s="13"/>
      <c r="F19" s="40">
        <v>750</v>
      </c>
      <c r="G19" s="49"/>
    </row>
    <row r="20" spans="2:7" ht="15.75" customHeight="1">
      <c r="B20" s="45"/>
      <c r="C20" s="12" t="s">
        <v>8</v>
      </c>
      <c r="D20" s="18">
        <v>515</v>
      </c>
      <c r="F20" s="18">
        <v>465</v>
      </c>
      <c r="G20" s="46"/>
    </row>
    <row r="21" spans="2:7" ht="16.5" customHeight="1">
      <c r="B21" s="45"/>
      <c r="C21" s="12" t="s">
        <v>9</v>
      </c>
      <c r="D21" s="18">
        <v>6.06</v>
      </c>
      <c r="F21" s="18">
        <v>5.4</v>
      </c>
      <c r="G21" s="46"/>
    </row>
    <row r="22" spans="2:7" ht="17.25" customHeight="1">
      <c r="B22" s="45"/>
      <c r="C22" s="12" t="s">
        <v>147</v>
      </c>
      <c r="D22" s="18">
        <v>498</v>
      </c>
      <c r="E22" s="18"/>
      <c r="F22" s="18">
        <v>456</v>
      </c>
      <c r="G22" s="46"/>
    </row>
    <row r="23" spans="2:7" ht="16.5" customHeight="1">
      <c r="B23" s="45"/>
      <c r="C23" s="12" t="s">
        <v>148</v>
      </c>
      <c r="D23" s="18">
        <v>438</v>
      </c>
      <c r="E23" s="18"/>
      <c r="F23" s="18">
        <v>456</v>
      </c>
      <c r="G23" s="46"/>
    </row>
    <row r="24" spans="2:7" ht="17.25" customHeight="1">
      <c r="B24" s="45"/>
      <c r="C24" s="12" t="s">
        <v>10</v>
      </c>
      <c r="D24" s="18">
        <v>84</v>
      </c>
      <c r="F24" s="18">
        <v>84</v>
      </c>
      <c r="G24" s="46"/>
    </row>
    <row r="25" spans="2:7" ht="18.75" customHeight="1">
      <c r="B25" s="45"/>
      <c r="C25" s="12" t="s">
        <v>11</v>
      </c>
      <c r="D25" s="40">
        <f>D19/D20</f>
        <v>1.570873786407767</v>
      </c>
      <c r="F25" s="40">
        <f>F19/F20</f>
        <v>1.6129032258064515</v>
      </c>
      <c r="G25" s="46"/>
    </row>
    <row r="26" spans="2:7" ht="16.5" customHeight="1">
      <c r="B26" s="45"/>
      <c r="C26" s="12" t="s">
        <v>12</v>
      </c>
      <c r="D26" s="40">
        <f>D19/D21</f>
        <v>133.49834983498351</v>
      </c>
      <c r="F26" s="40">
        <f>F19/F21</f>
        <v>138.88888888888889</v>
      </c>
      <c r="G26" s="46"/>
    </row>
    <row r="27" spans="2:7" ht="17.25" customHeight="1">
      <c r="B27" s="45"/>
      <c r="C27" s="12" t="s">
        <v>13</v>
      </c>
      <c r="D27" s="40">
        <f>D26/D24</f>
        <v>1.5892660694640894</v>
      </c>
      <c r="F27" s="40">
        <f>F26/F24</f>
        <v>1.6534391534391535</v>
      </c>
      <c r="G27" s="46"/>
    </row>
    <row r="28" spans="2:7" ht="16.5" customHeight="1">
      <c r="B28" s="45"/>
      <c r="C28" s="12" t="s">
        <v>14</v>
      </c>
      <c r="D28" s="40">
        <f>D27*12</f>
        <v>19.07119283356907</v>
      </c>
      <c r="F28" s="40">
        <f>F27*12</f>
        <v>19.841269841269842</v>
      </c>
      <c r="G28" s="46"/>
    </row>
    <row r="29" spans="2:7" ht="17.25" customHeight="1">
      <c r="B29" s="45"/>
      <c r="C29" s="12" t="s">
        <v>15</v>
      </c>
      <c r="D29" s="50">
        <f>1-(F20/D20)</f>
        <v>0.09708737864077666</v>
      </c>
      <c r="F29" s="18"/>
      <c r="G29" s="46"/>
    </row>
    <row r="30" spans="2:7" ht="19.5" customHeight="1">
      <c r="B30" s="45"/>
      <c r="C30" s="12" t="s">
        <v>16</v>
      </c>
      <c r="D30" s="51">
        <f>1-(F21/D21)</f>
        <v>0.10891089108910879</v>
      </c>
      <c r="F30" s="18"/>
      <c r="G30" s="46"/>
    </row>
    <row r="31" spans="2:7" ht="18.75" customHeight="1">
      <c r="B31" s="45"/>
      <c r="C31" s="12" t="s">
        <v>149</v>
      </c>
      <c r="D31" s="18">
        <f>D22-F22</f>
        <v>42</v>
      </c>
      <c r="E31" s="18"/>
      <c r="F31" s="18"/>
      <c r="G31" s="46"/>
    </row>
    <row r="32" spans="2:7" ht="15.75" customHeight="1">
      <c r="B32" s="45"/>
      <c r="C32" s="12" t="s">
        <v>150</v>
      </c>
      <c r="D32" s="50">
        <f>1-(F22/D22)</f>
        <v>0.08433734939759041</v>
      </c>
      <c r="E32" s="18"/>
      <c r="F32" s="18"/>
      <c r="G32" s="46"/>
    </row>
    <row r="33" spans="2:7" ht="14.25" customHeight="1">
      <c r="B33" s="45"/>
      <c r="C33" s="12" t="s">
        <v>151</v>
      </c>
      <c r="D33" s="18">
        <f>D22-D23</f>
        <v>60</v>
      </c>
      <c r="E33" s="18"/>
      <c r="F33" s="18">
        <f>F22-F23</f>
        <v>0</v>
      </c>
      <c r="G33" s="46"/>
    </row>
    <row r="34" spans="2:7" ht="17.25" customHeight="1">
      <c r="B34" s="45"/>
      <c r="C34" s="12" t="s">
        <v>152</v>
      </c>
      <c r="D34" s="50">
        <f>1-(D23/D22)</f>
        <v>0.12048192771084343</v>
      </c>
      <c r="E34" s="18"/>
      <c r="F34" s="50">
        <f>1-(F23/F22)</f>
        <v>0</v>
      </c>
      <c r="G34" s="46"/>
    </row>
    <row r="35" spans="2:7" ht="12.75">
      <c r="B35" s="45"/>
      <c r="G35" s="46"/>
    </row>
    <row r="36" spans="2:7" ht="12.75">
      <c r="B36" s="52"/>
      <c r="C36" s="53"/>
      <c r="D36" s="53"/>
      <c r="E36" s="53"/>
      <c r="F36" s="53"/>
      <c r="G36" s="54"/>
    </row>
    <row r="39" spans="3:5" ht="15" customHeight="1">
      <c r="C39" s="4" t="s">
        <v>153</v>
      </c>
      <c r="D39" s="55" t="e">
        <f>D19-F19</f>
        <v>#VALUE!</v>
      </c>
      <c r="E39" s="4" t="s">
        <v>154</v>
      </c>
    </row>
    <row r="40" spans="3:5" ht="15" customHeight="1">
      <c r="C40" s="4" t="s">
        <v>155</v>
      </c>
      <c r="D40" s="56" t="e">
        <f>1-(F19/D19)</f>
        <v>#VALUE!</v>
      </c>
      <c r="E40" s="4" t="s">
        <v>156</v>
      </c>
    </row>
    <row r="41" spans="3:5" ht="15" customHeight="1">
      <c r="C41" s="4" t="s">
        <v>15</v>
      </c>
      <c r="D41" s="56" t="e">
        <f>D29</f>
        <v>#VALUE!</v>
      </c>
      <c r="E41" s="4" t="s">
        <v>157</v>
      </c>
    </row>
    <row r="42" spans="3:5" ht="15" customHeight="1">
      <c r="C42" s="4" t="s">
        <v>16</v>
      </c>
      <c r="D42" s="56" t="e">
        <f>D30</f>
        <v>#VALUE!</v>
      </c>
      <c r="E42" s="4" t="s">
        <v>157</v>
      </c>
    </row>
  </sheetData>
  <printOptions/>
  <pageMargins left="0.75" right="0.75" top="1" bottom="1" header="0.5" footer="0.5"/>
  <pageSetup fitToHeight="1" fitToWidth="1" horizontalDpi="300" verticalDpi="300" orientation="portrait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F14" sqref="F14"/>
    </sheetView>
  </sheetViews>
  <sheetFormatPr defaultColWidth="9.140625" defaultRowHeight="12.75"/>
  <cols>
    <col min="4" max="4" width="15.7109375" style="0" customWidth="1"/>
  </cols>
  <sheetData>
    <row r="1" spans="1:9" ht="30.75">
      <c r="A1" s="101" t="s">
        <v>195</v>
      </c>
      <c r="B1" s="101"/>
      <c r="C1" s="101"/>
      <c r="D1" s="101"/>
      <c r="E1" s="101"/>
      <c r="F1" s="101"/>
      <c r="G1" s="101"/>
      <c r="H1" s="101"/>
      <c r="I1" s="101"/>
    </row>
    <row r="2" spans="1:9" ht="30.75">
      <c r="A2" s="85"/>
      <c r="B2" s="85"/>
      <c r="C2" s="85"/>
      <c r="D2" s="85"/>
      <c r="E2" s="85"/>
      <c r="F2" s="85"/>
      <c r="G2" s="85"/>
      <c r="H2" s="85"/>
      <c r="I2" s="85"/>
    </row>
    <row r="3" spans="1:9" ht="23.25">
      <c r="A3" s="84"/>
      <c r="B3" s="84"/>
      <c r="C3" s="84"/>
      <c r="D3" s="84"/>
      <c r="E3" s="84"/>
      <c r="F3" s="84"/>
      <c r="G3" s="84"/>
      <c r="H3" s="84"/>
      <c r="I3" s="84"/>
    </row>
    <row r="4" spans="1:9" ht="23.25">
      <c r="A4" s="102" t="s">
        <v>180</v>
      </c>
      <c r="B4" s="102"/>
      <c r="C4" s="102"/>
      <c r="D4" s="102"/>
      <c r="E4" s="102"/>
      <c r="F4" s="102"/>
      <c r="G4" s="102"/>
      <c r="H4" s="102"/>
      <c r="I4" s="102"/>
    </row>
    <row r="7" spans="1:9" ht="19.5">
      <c r="A7" s="103" t="s">
        <v>181</v>
      </c>
      <c r="B7" s="103"/>
      <c r="C7" s="103"/>
      <c r="D7" s="103"/>
      <c r="E7" s="103"/>
      <c r="F7" s="103"/>
      <c r="G7" s="103"/>
      <c r="H7" s="103"/>
      <c r="I7" s="103"/>
    </row>
    <row r="8" spans="1:9" ht="19.5">
      <c r="A8" s="86"/>
      <c r="B8" s="86"/>
      <c r="C8" s="86"/>
      <c r="D8" s="86"/>
      <c r="E8" s="86"/>
      <c r="F8" s="86"/>
      <c r="G8" s="86"/>
      <c r="H8" s="86"/>
      <c r="I8" s="86"/>
    </row>
    <row r="10" spans="1:9" ht="15.75">
      <c r="A10" s="87" t="s">
        <v>194</v>
      </c>
      <c r="B10" s="87"/>
      <c r="C10" s="87"/>
      <c r="D10" s="87"/>
      <c r="E10" s="87"/>
      <c r="F10" s="87"/>
      <c r="G10" s="87"/>
      <c r="H10" s="87"/>
      <c r="I10" s="87"/>
    </row>
    <row r="11" ht="15.75">
      <c r="A11" s="87" t="s">
        <v>193</v>
      </c>
    </row>
    <row r="12" ht="15.75">
      <c r="A12" s="87"/>
    </row>
    <row r="14" ht="12.75">
      <c r="A14" s="88" t="s">
        <v>176</v>
      </c>
    </row>
    <row r="15" ht="12.75">
      <c r="A15" s="88" t="s">
        <v>177</v>
      </c>
    </row>
    <row r="16" ht="12.75">
      <c r="A16" s="88" t="s">
        <v>178</v>
      </c>
    </row>
    <row r="17" ht="12.75">
      <c r="A17" s="88" t="s">
        <v>179</v>
      </c>
    </row>
    <row r="18" ht="12.75">
      <c r="A18" s="88"/>
    </row>
    <row r="19" ht="12.75">
      <c r="A19" s="88"/>
    </row>
    <row r="20" ht="12.75">
      <c r="A20" s="88"/>
    </row>
    <row r="21" spans="1:4" ht="12.75">
      <c r="A21" s="88" t="s">
        <v>183</v>
      </c>
      <c r="D21">
        <v>1.94</v>
      </c>
    </row>
    <row r="22" spans="1:4" ht="12.75">
      <c r="A22" s="88" t="s">
        <v>184</v>
      </c>
      <c r="D22">
        <v>12</v>
      </c>
    </row>
    <row r="23" spans="1:4" ht="12.75">
      <c r="A23" s="88" t="s">
        <v>185</v>
      </c>
      <c r="D23" s="82">
        <v>0.8</v>
      </c>
    </row>
    <row r="24" spans="1:4" ht="12.75">
      <c r="A24" s="88" t="s">
        <v>186</v>
      </c>
      <c r="D24">
        <v>0.0345</v>
      </c>
    </row>
    <row r="25" spans="1:5" ht="12.75">
      <c r="A25" s="88" t="s">
        <v>187</v>
      </c>
      <c r="D25" s="82">
        <v>0.84</v>
      </c>
      <c r="E25" t="s">
        <v>190</v>
      </c>
    </row>
    <row r="26" spans="1:5" ht="12.75">
      <c r="A26" s="88" t="s">
        <v>188</v>
      </c>
      <c r="D26" s="82">
        <v>0.82</v>
      </c>
      <c r="E26" t="s">
        <v>189</v>
      </c>
    </row>
    <row r="27" spans="1:4" ht="12.75">
      <c r="A27" s="88" t="s">
        <v>22</v>
      </c>
      <c r="D27" s="83">
        <v>7</v>
      </c>
    </row>
    <row r="28" spans="1:4" ht="12.75">
      <c r="A28" s="88"/>
      <c r="D28" s="83"/>
    </row>
    <row r="29" spans="1:4" ht="12.75">
      <c r="A29" s="88"/>
      <c r="D29" s="83"/>
    </row>
    <row r="30" ht="12.75">
      <c r="A30" s="88"/>
    </row>
    <row r="31" spans="1:4" ht="15.75">
      <c r="A31" s="87" t="s">
        <v>182</v>
      </c>
      <c r="B31" s="87"/>
      <c r="C31" s="87"/>
      <c r="D31" s="89">
        <f>D21*D22*D23*D24/(D25*D26)</f>
        <v>0.9328222996515682</v>
      </c>
    </row>
    <row r="32" spans="1:4" ht="15.75">
      <c r="A32" s="87" t="s">
        <v>191</v>
      </c>
      <c r="B32" s="87"/>
      <c r="C32" s="87"/>
      <c r="D32" s="89">
        <f>D27*D31</f>
        <v>6.529756097560977</v>
      </c>
    </row>
    <row r="33" spans="1:4" ht="15.75">
      <c r="A33" s="87" t="s">
        <v>192</v>
      </c>
      <c r="B33" s="87"/>
      <c r="C33" s="87"/>
      <c r="D33" s="89">
        <f>D32*300</f>
        <v>1958.9268292682932</v>
      </c>
    </row>
  </sheetData>
  <mergeCells count="3">
    <mergeCell ref="A1:I1"/>
    <mergeCell ref="A4:I4"/>
    <mergeCell ref="A7:I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jtimmer</cp:lastModifiedBy>
  <cp:lastPrinted>2002-04-24T14:43:18Z</cp:lastPrinted>
  <dcterms:created xsi:type="dcterms:W3CDTF">2002-07-26T19:09:14Z</dcterms:created>
  <dcterms:modified xsi:type="dcterms:W3CDTF">2005-04-25T15:04:47Z</dcterms:modified>
  <cp:category/>
  <cp:version/>
  <cp:contentType/>
  <cp:contentStatus/>
</cp:coreProperties>
</file>